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меню" sheetId="3" r:id="rId1"/>
    <sheet name="расчет завтрак" sheetId="2" r:id="rId2"/>
    <sheet name="расчет обед 1-4" sheetId="4" r:id="rId3"/>
    <sheet name="расчет обед 5-11" sheetId="5" r:id="rId4"/>
    <sheet name="норма потребления" sheetId="6" r:id="rId5"/>
  </sheets>
  <calcPr calcId="145621"/>
</workbook>
</file>

<file path=xl/calcChain.xml><?xml version="1.0" encoding="utf-8"?>
<calcChain xmlns="http://schemas.openxmlformats.org/spreadsheetml/2006/main">
  <c r="I396" i="4" l="1"/>
  <c r="I256" i="4"/>
  <c r="I255" i="4"/>
  <c r="I254" i="4"/>
  <c r="I253" i="4"/>
  <c r="I252" i="4"/>
  <c r="I251" i="4"/>
  <c r="I257" i="4" s="1"/>
  <c r="I250" i="4"/>
  <c r="I214" i="4"/>
  <c r="I329" i="4" l="1"/>
  <c r="I328" i="4"/>
  <c r="I327" i="4"/>
  <c r="I326" i="4"/>
  <c r="I325" i="4"/>
  <c r="I323" i="4"/>
  <c r="I322" i="4"/>
  <c r="I332" i="4" l="1"/>
  <c r="B134" i="2"/>
  <c r="K127" i="2"/>
  <c r="K80" i="2"/>
  <c r="K79" i="2" s="1"/>
  <c r="K3" i="2"/>
  <c r="K157" i="2"/>
  <c r="B287" i="2"/>
  <c r="K308" i="2"/>
  <c r="K305" i="2"/>
  <c r="K304" i="2"/>
  <c r="K299" i="2"/>
  <c r="K298" i="2"/>
  <c r="H298" i="2"/>
  <c r="K297" i="2"/>
  <c r="H297" i="2"/>
  <c r="K296" i="2"/>
  <c r="H296" i="2"/>
  <c r="K295" i="2"/>
  <c r="H295" i="2"/>
  <c r="K294" i="2"/>
  <c r="H294" i="2"/>
  <c r="K291" i="2"/>
  <c r="K289" i="2"/>
  <c r="K284" i="2"/>
  <c r="K281" i="2"/>
  <c r="K280" i="2"/>
  <c r="K279" i="2"/>
  <c r="K278" i="2"/>
  <c r="K275" i="2"/>
  <c r="K272" i="2"/>
  <c r="K271" i="2"/>
  <c r="K270" i="2"/>
  <c r="K264" i="2"/>
  <c r="K263" i="2"/>
  <c r="K262" i="2"/>
  <c r="K261" i="2"/>
  <c r="K260" i="2"/>
  <c r="K259" i="2"/>
  <c r="K258" i="2"/>
  <c r="K257" i="2"/>
  <c r="K256" i="2"/>
  <c r="K255" i="2"/>
  <c r="K253" i="2"/>
  <c r="K252" i="2"/>
  <c r="K249" i="2"/>
  <c r="K248" i="2"/>
  <c r="K247" i="2"/>
  <c r="K246" i="2"/>
  <c r="K245" i="2"/>
  <c r="B244" i="2"/>
  <c r="K242" i="2"/>
  <c r="K240" i="2"/>
  <c r="K236" i="2"/>
  <c r="K235" i="2"/>
  <c r="F231" i="2"/>
  <c r="K231" i="2" s="1"/>
  <c r="F230" i="2"/>
  <c r="H230" i="2" s="1"/>
  <c r="F229" i="2"/>
  <c r="K229" i="2" s="1"/>
  <c r="F228" i="2"/>
  <c r="H228" i="2" s="1"/>
  <c r="F227" i="2"/>
  <c r="K227" i="2" s="1"/>
  <c r="F226" i="2"/>
  <c r="H226" i="2" s="1"/>
  <c r="F225" i="2"/>
  <c r="K225" i="2" s="1"/>
  <c r="F224" i="2"/>
  <c r="H224" i="2" s="1"/>
  <c r="F223" i="2"/>
  <c r="K223" i="2" s="1"/>
  <c r="K219" i="2"/>
  <c r="G219" i="2"/>
  <c r="K218" i="2"/>
  <c r="B217" i="2"/>
  <c r="K213" i="2"/>
  <c r="K210" i="2"/>
  <c r="K209" i="2"/>
  <c r="K205" i="2"/>
  <c r="K204" i="2"/>
  <c r="K203" i="2"/>
  <c r="K202" i="2"/>
  <c r="K201" i="2"/>
  <c r="K197" i="2"/>
  <c r="K196" i="2"/>
  <c r="K195" i="2"/>
  <c r="K194" i="2"/>
  <c r="K193" i="2"/>
  <c r="K190" i="2"/>
  <c r="K189" i="2"/>
  <c r="K188" i="2"/>
  <c r="K187" i="2"/>
  <c r="K183" i="2"/>
  <c r="K182" i="2"/>
  <c r="K181" i="2"/>
  <c r="K180" i="2"/>
  <c r="B180" i="2"/>
  <c r="K176" i="2"/>
  <c r="K173" i="2"/>
  <c r="K172" i="2"/>
  <c r="K171" i="2"/>
  <c r="K170" i="2"/>
  <c r="F166" i="2"/>
  <c r="K166" i="2" s="1"/>
  <c r="F165" i="2"/>
  <c r="H165" i="2" s="1"/>
  <c r="F164" i="2"/>
  <c r="K164" i="2" s="1"/>
  <c r="F163" i="2"/>
  <c r="H163" i="2" s="1"/>
  <c r="F162" i="2"/>
  <c r="K162" i="2" s="1"/>
  <c r="K159" i="2"/>
  <c r="B158" i="2"/>
  <c r="K152" i="2"/>
  <c r="K151" i="2"/>
  <c r="K148" i="2"/>
  <c r="K146" i="2"/>
  <c r="K143" i="2"/>
  <c r="K142" i="2"/>
  <c r="H142" i="2"/>
  <c r="K141" i="2"/>
  <c r="H141" i="2"/>
  <c r="K140" i="2"/>
  <c r="H140" i="2"/>
  <c r="K139" i="2"/>
  <c r="H139" i="2"/>
  <c r="K138" i="2"/>
  <c r="H138" i="2"/>
  <c r="K133" i="2"/>
  <c r="K130" i="2"/>
  <c r="K126" i="2"/>
  <c r="K125" i="2"/>
  <c r="K121" i="2"/>
  <c r="K120" i="2"/>
  <c r="K119" i="2"/>
  <c r="K115" i="2"/>
  <c r="K114" i="2"/>
  <c r="K113" i="2"/>
  <c r="K112" i="2"/>
  <c r="K111" i="2"/>
  <c r="K110" i="2"/>
  <c r="K109" i="2"/>
  <c r="K108" i="2"/>
  <c r="B106" i="2"/>
  <c r="K104" i="2"/>
  <c r="K102" i="2"/>
  <c r="K99" i="2"/>
  <c r="K98" i="2"/>
  <c r="K94" i="2"/>
  <c r="K93" i="2"/>
  <c r="K92" i="2"/>
  <c r="K91" i="2"/>
  <c r="K90" i="2"/>
  <c r="K89" i="2"/>
  <c r="K88" i="2"/>
  <c r="K87" i="2"/>
  <c r="K86" i="2"/>
  <c r="K85" i="2"/>
  <c r="K84" i="2"/>
  <c r="K76" i="2"/>
  <c r="K75" i="2"/>
  <c r="K74" i="2"/>
  <c r="B74" i="2"/>
  <c r="K69" i="2"/>
  <c r="K66" i="2"/>
  <c r="K65" i="2"/>
  <c r="K64" i="2"/>
  <c r="K63" i="2"/>
  <c r="K59" i="2"/>
  <c r="K58" i="2"/>
  <c r="K57" i="2"/>
  <c r="K52" i="2"/>
  <c r="K51" i="2"/>
  <c r="K50" i="2"/>
  <c r="K49" i="2"/>
  <c r="K48" i="2"/>
  <c r="K47" i="2"/>
  <c r="K46" i="2"/>
  <c r="K45" i="2"/>
  <c r="K39" i="2"/>
  <c r="K37" i="2"/>
  <c r="K36" i="2"/>
  <c r="K34" i="2"/>
  <c r="K33" i="2"/>
  <c r="B30" i="2"/>
  <c r="K29" i="2"/>
  <c r="K26" i="2"/>
  <c r="K23" i="2"/>
  <c r="H23" i="2"/>
  <c r="K22" i="2"/>
  <c r="H22" i="2"/>
  <c r="K21" i="2"/>
  <c r="H21" i="2"/>
  <c r="K20" i="2"/>
  <c r="K17" i="2" s="1"/>
  <c r="H20" i="2"/>
  <c r="K13" i="2"/>
  <c r="H13" i="2"/>
  <c r="K12" i="2"/>
  <c r="H12" i="2"/>
  <c r="K11" i="2"/>
  <c r="H11" i="2"/>
  <c r="K10" i="2"/>
  <c r="H10" i="2"/>
  <c r="K9" i="2"/>
  <c r="H9" i="2"/>
  <c r="K8" i="2"/>
  <c r="K5" i="2" s="1"/>
  <c r="H8" i="2"/>
  <c r="B5" i="2"/>
  <c r="K4" i="2"/>
  <c r="K186" i="2" l="1"/>
  <c r="K208" i="2"/>
  <c r="K107" i="2"/>
  <c r="K200" i="2"/>
  <c r="K97" i="2"/>
  <c r="K169" i="2"/>
  <c r="K179" i="2"/>
  <c r="B4" i="2"/>
  <c r="K73" i="2"/>
  <c r="K124" i="2"/>
  <c r="K150" i="2"/>
  <c r="K234" i="2"/>
  <c r="K269" i="2"/>
  <c r="K303" i="2"/>
  <c r="H162" i="2"/>
  <c r="H229" i="2"/>
  <c r="K244" i="2"/>
  <c r="K31" i="2"/>
  <c r="K62" i="2"/>
  <c r="H166" i="2"/>
  <c r="H225" i="2"/>
  <c r="K293" i="2"/>
  <c r="M287" i="2" s="1"/>
  <c r="K56" i="2"/>
  <c r="K83" i="2"/>
  <c r="K118" i="2"/>
  <c r="K137" i="2"/>
  <c r="B133" i="2" s="1"/>
  <c r="H164" i="2"/>
  <c r="H223" i="2"/>
  <c r="H227" i="2"/>
  <c r="H231" i="2"/>
  <c r="K277" i="2"/>
  <c r="M243" i="2" s="1"/>
  <c r="M3" i="2"/>
  <c r="K163" i="2"/>
  <c r="K165" i="2"/>
  <c r="K224" i="2"/>
  <c r="K226" i="2"/>
  <c r="K228" i="2"/>
  <c r="K230" i="2"/>
  <c r="B179" i="2" l="1"/>
  <c r="B243" i="2"/>
  <c r="M179" i="2"/>
  <c r="M133" i="2"/>
  <c r="B73" i="2"/>
  <c r="B29" i="2"/>
  <c r="B286" i="2"/>
  <c r="K161" i="2"/>
  <c r="B157" i="2" s="1"/>
  <c r="M73" i="2"/>
  <c r="B105" i="2"/>
  <c r="M105" i="2"/>
  <c r="M2" i="2" s="1"/>
  <c r="M29" i="2"/>
  <c r="K222" i="2"/>
  <c r="M216" i="2" l="1"/>
  <c r="B216" i="2"/>
  <c r="M157" i="2"/>
  <c r="B2" i="2"/>
  <c r="I171" i="4" l="1"/>
  <c r="I170" i="4"/>
  <c r="I169" i="4"/>
  <c r="I168" i="4"/>
  <c r="I167" i="4"/>
  <c r="I166" i="4"/>
  <c r="I165" i="4"/>
  <c r="I90" i="4"/>
  <c r="I89" i="4"/>
  <c r="I88" i="4"/>
  <c r="I87" i="4"/>
  <c r="I86" i="4"/>
  <c r="I85" i="4"/>
  <c r="I403" i="4"/>
  <c r="I402" i="4"/>
  <c r="I401" i="4"/>
  <c r="I400" i="4"/>
  <c r="I399" i="4"/>
  <c r="I398" i="4"/>
  <c r="S403" i="4"/>
  <c r="S402" i="4"/>
  <c r="S401" i="4"/>
  <c r="S400" i="4"/>
  <c r="S399" i="4"/>
  <c r="S398" i="4"/>
  <c r="S397" i="4"/>
  <c r="I172" i="4" l="1"/>
  <c r="S404" i="4"/>
  <c r="I214" i="5"/>
  <c r="I213" i="5"/>
  <c r="I212" i="5"/>
  <c r="I211" i="5"/>
  <c r="I210" i="5"/>
  <c r="I209" i="5"/>
  <c r="I208" i="5"/>
  <c r="I217" i="5"/>
  <c r="I218" i="5"/>
  <c r="I314" i="5"/>
  <c r="I315" i="5"/>
  <c r="I316" i="5"/>
  <c r="I317" i="5"/>
  <c r="I318" i="5"/>
  <c r="I319" i="5"/>
  <c r="I320" i="5"/>
  <c r="I321" i="5"/>
  <c r="I322" i="5"/>
  <c r="I323" i="5"/>
  <c r="I324" i="5" l="1"/>
  <c r="I215" i="5"/>
  <c r="I45" i="5"/>
  <c r="I44" i="5"/>
  <c r="I43" i="5"/>
  <c r="I42" i="5"/>
  <c r="I341" i="5"/>
  <c r="I340" i="5"/>
  <c r="I339" i="5"/>
  <c r="I338" i="5"/>
  <c r="I173" i="5"/>
  <c r="I193" i="4"/>
  <c r="I342" i="5" l="1"/>
  <c r="I46" i="5"/>
  <c r="I299" i="5"/>
  <c r="I298" i="5"/>
  <c r="I427" i="5"/>
  <c r="I426" i="5"/>
  <c r="I425" i="5"/>
  <c r="I428" i="5" l="1"/>
  <c r="I300" i="5"/>
  <c r="I396" i="5"/>
  <c r="I395" i="5"/>
  <c r="I394" i="5"/>
  <c r="I393" i="5"/>
  <c r="I392" i="5"/>
  <c r="I391" i="5"/>
  <c r="I390" i="5"/>
  <c r="I273" i="5"/>
  <c r="I397" i="5" l="1"/>
  <c r="I375" i="5"/>
  <c r="I374" i="5"/>
  <c r="I373" i="5"/>
  <c r="I372" i="5"/>
  <c r="I371" i="5"/>
  <c r="I370" i="5"/>
  <c r="I369" i="5"/>
  <c r="I368" i="5"/>
  <c r="I367" i="5"/>
  <c r="I366" i="5"/>
  <c r="I365" i="5"/>
  <c r="I373" i="4"/>
  <c r="I374" i="4"/>
  <c r="I375" i="4"/>
  <c r="I376" i="4"/>
  <c r="I377" i="4"/>
  <c r="I378" i="4"/>
  <c r="I379" i="4"/>
  <c r="I380" i="4"/>
  <c r="I381" i="4"/>
  <c r="I66" i="5"/>
  <c r="I65" i="5"/>
  <c r="I64" i="5"/>
  <c r="I63" i="5"/>
  <c r="I62" i="5"/>
  <c r="I61" i="5"/>
  <c r="I60" i="5"/>
  <c r="I59" i="5"/>
  <c r="I67" i="4"/>
  <c r="I378" i="5" l="1"/>
  <c r="I69" i="5"/>
  <c r="I202" i="4"/>
  <c r="I200" i="4"/>
  <c r="I199" i="4"/>
  <c r="I198" i="4"/>
  <c r="I197" i="4"/>
  <c r="I195" i="4"/>
  <c r="I203" i="4" l="1"/>
  <c r="I187" i="5"/>
  <c r="I188" i="5"/>
  <c r="I190" i="5"/>
  <c r="I191" i="5"/>
  <c r="I192" i="5"/>
  <c r="I193" i="5"/>
  <c r="I195" i="5"/>
  <c r="I196" i="5" l="1"/>
  <c r="I362" i="5"/>
  <c r="I361" i="5"/>
  <c r="I360" i="5"/>
  <c r="I359" i="5"/>
  <c r="I406" i="5"/>
  <c r="I405" i="5"/>
  <c r="I404" i="5"/>
  <c r="I403" i="5"/>
  <c r="I402" i="5"/>
  <c r="I401" i="5"/>
  <c r="I400" i="5"/>
  <c r="I399" i="5"/>
  <c r="I382" i="5"/>
  <c r="I381" i="5"/>
  <c r="I380" i="5"/>
  <c r="I328" i="5"/>
  <c r="I327" i="5"/>
  <c r="I311" i="5"/>
  <c r="I310" i="5"/>
  <c r="I309" i="5"/>
  <c r="I308" i="5"/>
  <c r="I307" i="5"/>
  <c r="I306" i="5"/>
  <c r="I305" i="5"/>
  <c r="I304" i="5"/>
  <c r="I303" i="5"/>
  <c r="I302" i="5"/>
  <c r="I290" i="5"/>
  <c r="I434" i="4"/>
  <c r="I433" i="4"/>
  <c r="I389" i="4"/>
  <c r="I388" i="4"/>
  <c r="I387" i="4"/>
  <c r="I413" i="4"/>
  <c r="I412" i="4"/>
  <c r="I411" i="4"/>
  <c r="I410" i="4"/>
  <c r="I409" i="4"/>
  <c r="I408" i="4"/>
  <c r="I407" i="4"/>
  <c r="I406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E262" i="4"/>
  <c r="E263" i="4"/>
  <c r="E264" i="4"/>
  <c r="E265" i="4"/>
  <c r="E266" i="4"/>
  <c r="I266" i="4" s="1"/>
  <c r="E267" i="4"/>
  <c r="I267" i="4" s="1"/>
  <c r="E268" i="4"/>
  <c r="I268" i="4" s="1"/>
  <c r="E269" i="4"/>
  <c r="E270" i="4"/>
  <c r="I270" i="4" s="1"/>
  <c r="E271" i="4"/>
  <c r="E272" i="4"/>
  <c r="I272" i="4" s="1"/>
  <c r="E273" i="4"/>
  <c r="I273" i="4" s="1"/>
  <c r="E261" i="4"/>
  <c r="I261" i="4" s="1"/>
  <c r="I271" i="4"/>
  <c r="I241" i="5"/>
  <c r="I240" i="5"/>
  <c r="I239" i="5"/>
  <c r="I225" i="5"/>
  <c r="I224" i="5"/>
  <c r="I223" i="5"/>
  <c r="I222" i="5"/>
  <c r="I221" i="5"/>
  <c r="I220" i="5"/>
  <c r="I219" i="5"/>
  <c r="I154" i="5"/>
  <c r="I153" i="5"/>
  <c r="I152" i="5"/>
  <c r="I116" i="5"/>
  <c r="I115" i="5"/>
  <c r="I114" i="5"/>
  <c r="I101" i="5"/>
  <c r="I100" i="5"/>
  <c r="I99" i="5"/>
  <c r="I98" i="5"/>
  <c r="I97" i="5"/>
  <c r="I96" i="5"/>
  <c r="I95" i="5"/>
  <c r="I94" i="5"/>
  <c r="I93" i="5"/>
  <c r="I92" i="5"/>
  <c r="I91" i="5"/>
  <c r="I55" i="5"/>
  <c r="I54" i="5"/>
  <c r="I53" i="5"/>
  <c r="I52" i="5"/>
  <c r="I51" i="5"/>
  <c r="I50" i="5"/>
  <c r="I49" i="5"/>
  <c r="I48" i="5"/>
  <c r="I319" i="4"/>
  <c r="I318" i="4"/>
  <c r="I317" i="4"/>
  <c r="I316" i="4"/>
  <c r="I315" i="4"/>
  <c r="I314" i="4"/>
  <c r="I313" i="4"/>
  <c r="I312" i="4"/>
  <c r="I311" i="4"/>
  <c r="I310" i="4"/>
  <c r="I223" i="4"/>
  <c r="I222" i="4"/>
  <c r="I221" i="4"/>
  <c r="I220" i="4"/>
  <c r="I219" i="4"/>
  <c r="I218" i="4"/>
  <c r="I335" i="4"/>
  <c r="I334" i="4"/>
  <c r="I372" i="4"/>
  <c r="I371" i="4"/>
  <c r="I368" i="4"/>
  <c r="I367" i="4"/>
  <c r="I366" i="4"/>
  <c r="I365" i="4"/>
  <c r="I298" i="4"/>
  <c r="I242" i="4"/>
  <c r="I241" i="4"/>
  <c r="I240" i="4"/>
  <c r="I215" i="4"/>
  <c r="I138" i="4"/>
  <c r="I137" i="4"/>
  <c r="I136" i="4"/>
  <c r="I135" i="4"/>
  <c r="I134" i="4"/>
  <c r="I133" i="4"/>
  <c r="I132" i="4"/>
  <c r="I131" i="4"/>
  <c r="I130" i="4"/>
  <c r="I119" i="4"/>
  <c r="I118" i="4"/>
  <c r="I117" i="4"/>
  <c r="I103" i="4"/>
  <c r="I102" i="4"/>
  <c r="I101" i="4"/>
  <c r="I100" i="4"/>
  <c r="I99" i="4"/>
  <c r="I98" i="4"/>
  <c r="I97" i="4"/>
  <c r="I96" i="4"/>
  <c r="I95" i="4"/>
  <c r="I94" i="4"/>
  <c r="I93" i="4"/>
  <c r="I55" i="4"/>
  <c r="I54" i="4"/>
  <c r="I53" i="4"/>
  <c r="I52" i="4"/>
  <c r="I51" i="4"/>
  <c r="I50" i="4"/>
  <c r="I49" i="4"/>
  <c r="I48" i="4"/>
  <c r="W57" i="4"/>
  <c r="W56" i="4"/>
  <c r="W55" i="4"/>
  <c r="W54" i="4"/>
  <c r="W53" i="4"/>
  <c r="W52" i="4"/>
  <c r="W51" i="4"/>
  <c r="W50" i="4"/>
  <c r="W49" i="4"/>
  <c r="W48" i="4"/>
  <c r="I384" i="4" l="1"/>
  <c r="I436" i="4"/>
  <c r="I139" i="4"/>
  <c r="I369" i="4"/>
  <c r="I227" i="4"/>
  <c r="I320" i="4"/>
  <c r="I415" i="4"/>
  <c r="I390" i="4"/>
  <c r="I274" i="4"/>
  <c r="I249" i="4" s="1"/>
  <c r="I242" i="5"/>
  <c r="I155" i="5"/>
  <c r="I330" i="5"/>
  <c r="I312" i="5"/>
  <c r="I363" i="5"/>
  <c r="I383" i="5"/>
  <c r="I408" i="5"/>
  <c r="I117" i="5"/>
  <c r="I226" i="5"/>
  <c r="I102" i="5"/>
  <c r="I56" i="5"/>
  <c r="I337" i="4"/>
  <c r="I243" i="4"/>
  <c r="W58" i="4"/>
  <c r="I56" i="4"/>
  <c r="I120" i="4"/>
  <c r="I104" i="4"/>
  <c r="E28" i="6" l="1"/>
  <c r="F28" i="6" s="1"/>
  <c r="E26" i="6"/>
  <c r="F26" i="6" s="1"/>
  <c r="H26" i="6" s="1"/>
  <c r="E21" i="6"/>
  <c r="E20" i="6"/>
  <c r="K18" i="6"/>
  <c r="L18" i="6" s="1"/>
  <c r="O18" i="6" s="1"/>
  <c r="E18" i="6"/>
  <c r="F18" i="6" s="1"/>
  <c r="I18" i="6" s="1"/>
  <c r="K9" i="6"/>
  <c r="L9" i="6" s="1"/>
  <c r="N9" i="6" s="1"/>
  <c r="K8" i="6"/>
  <c r="L8" i="6" s="1"/>
  <c r="N8" i="6" s="1"/>
  <c r="E8" i="6"/>
  <c r="F8" i="6" s="1"/>
  <c r="I8" i="6" s="1"/>
  <c r="K5" i="6"/>
  <c r="L5" i="6" s="1"/>
  <c r="N5" i="6" s="1"/>
  <c r="E5" i="6"/>
  <c r="F5" i="6" s="1"/>
  <c r="O7" i="6"/>
  <c r="O10" i="6"/>
  <c r="O12" i="6"/>
  <c r="O13" i="6"/>
  <c r="O14" i="6"/>
  <c r="O15" i="6"/>
  <c r="O16" i="6"/>
  <c r="O17" i="6"/>
  <c r="O19" i="6"/>
  <c r="O22" i="6"/>
  <c r="O23" i="6"/>
  <c r="O24" i="6"/>
  <c r="O25" i="6"/>
  <c r="O30" i="6"/>
  <c r="O31" i="6"/>
  <c r="O32" i="6"/>
  <c r="O33" i="6"/>
  <c r="O34" i="6"/>
  <c r="O4" i="6"/>
  <c r="I7" i="6"/>
  <c r="I10" i="6"/>
  <c r="I12" i="6"/>
  <c r="I13" i="6"/>
  <c r="I15" i="6"/>
  <c r="I16" i="6"/>
  <c r="I17" i="6"/>
  <c r="I19" i="6"/>
  <c r="I22" i="6"/>
  <c r="I23" i="6"/>
  <c r="I24" i="6"/>
  <c r="I25" i="6"/>
  <c r="I30" i="6"/>
  <c r="I31" i="6"/>
  <c r="I32" i="6"/>
  <c r="I33" i="6"/>
  <c r="I34" i="6"/>
  <c r="I4" i="6"/>
  <c r="N7" i="6"/>
  <c r="N10" i="6"/>
  <c r="N12" i="6"/>
  <c r="N13" i="6"/>
  <c r="N14" i="6"/>
  <c r="N15" i="6"/>
  <c r="N16" i="6"/>
  <c r="N17" i="6"/>
  <c r="N19" i="6"/>
  <c r="N22" i="6"/>
  <c r="N23" i="6"/>
  <c r="N24" i="6"/>
  <c r="N25" i="6"/>
  <c r="N31" i="6"/>
  <c r="N32" i="6"/>
  <c r="N33" i="6"/>
  <c r="N34" i="6"/>
  <c r="N4" i="6"/>
  <c r="H7" i="6"/>
  <c r="H10" i="6"/>
  <c r="H12" i="6"/>
  <c r="H13" i="6"/>
  <c r="H15" i="6"/>
  <c r="H16" i="6"/>
  <c r="H17" i="6"/>
  <c r="H19" i="6"/>
  <c r="H22" i="6"/>
  <c r="H23" i="6"/>
  <c r="H24" i="6"/>
  <c r="H25" i="6"/>
  <c r="H27" i="6"/>
  <c r="H31" i="6"/>
  <c r="H32" i="6"/>
  <c r="H33" i="6"/>
  <c r="H34" i="6"/>
  <c r="H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4" i="6"/>
  <c r="E6" i="6"/>
  <c r="F6" i="6" s="1"/>
  <c r="I6" i="6" s="1"/>
  <c r="K6" i="6"/>
  <c r="L6" i="6" s="1"/>
  <c r="F4" i="6"/>
  <c r="F7" i="6"/>
  <c r="F10" i="6"/>
  <c r="F11" i="6"/>
  <c r="I11" i="6" s="1"/>
  <c r="F12" i="6"/>
  <c r="F13" i="6"/>
  <c r="F14" i="6"/>
  <c r="I14" i="6" s="1"/>
  <c r="F15" i="6"/>
  <c r="F16" i="6"/>
  <c r="F17" i="6"/>
  <c r="F19" i="6"/>
  <c r="F20" i="6"/>
  <c r="I20" i="6" s="1"/>
  <c r="F21" i="6"/>
  <c r="H21" i="6" s="1"/>
  <c r="F22" i="6"/>
  <c r="F23" i="6"/>
  <c r="F24" i="6"/>
  <c r="F25" i="6"/>
  <c r="F27" i="6"/>
  <c r="I27" i="6" s="1"/>
  <c r="F29" i="6"/>
  <c r="I29" i="6" s="1"/>
  <c r="F30" i="6"/>
  <c r="H30" i="6" s="1"/>
  <c r="F31" i="6"/>
  <c r="F32" i="6"/>
  <c r="F33" i="6"/>
  <c r="F34" i="6"/>
  <c r="L7" i="6"/>
  <c r="L10" i="6"/>
  <c r="L11" i="6"/>
  <c r="O11" i="6" s="1"/>
  <c r="L12" i="6"/>
  <c r="L13" i="6"/>
  <c r="L14" i="6"/>
  <c r="L15" i="6"/>
  <c r="L16" i="6"/>
  <c r="L17" i="6"/>
  <c r="L19" i="6"/>
  <c r="L20" i="6"/>
  <c r="O20" i="6" s="1"/>
  <c r="L21" i="6"/>
  <c r="O21" i="6" s="1"/>
  <c r="L22" i="6"/>
  <c r="L23" i="6"/>
  <c r="L24" i="6"/>
  <c r="L25" i="6"/>
  <c r="L26" i="6"/>
  <c r="O26" i="6" s="1"/>
  <c r="L27" i="6"/>
  <c r="O27" i="6" s="1"/>
  <c r="L28" i="6"/>
  <c r="O28" i="6" s="1"/>
  <c r="L29" i="6"/>
  <c r="O29" i="6" s="1"/>
  <c r="L30" i="6"/>
  <c r="N30" i="6" s="1"/>
  <c r="L31" i="6"/>
  <c r="L32" i="6"/>
  <c r="L33" i="6"/>
  <c r="L34" i="6"/>
  <c r="L4" i="6"/>
  <c r="H6" i="6" l="1"/>
  <c r="N6" i="6"/>
  <c r="O6" i="6"/>
  <c r="N29" i="6"/>
  <c r="H29" i="6"/>
  <c r="N28" i="6"/>
  <c r="I28" i="6"/>
  <c r="H28" i="6"/>
  <c r="N27" i="6"/>
  <c r="N26" i="6"/>
  <c r="I26" i="6"/>
  <c r="N21" i="6"/>
  <c r="I21" i="6"/>
  <c r="N20" i="6"/>
  <c r="H20" i="6"/>
  <c r="N18" i="6"/>
  <c r="N11" i="6"/>
  <c r="H11" i="6"/>
  <c r="H18" i="6"/>
  <c r="H14" i="6"/>
  <c r="O9" i="6"/>
  <c r="O8" i="6"/>
  <c r="H8" i="6"/>
  <c r="O5" i="6"/>
  <c r="I5" i="6"/>
  <c r="H5" i="6"/>
  <c r="I432" i="5" l="1"/>
  <c r="I430" i="5"/>
  <c r="I441" i="4"/>
  <c r="I439" i="4"/>
  <c r="I422" i="5"/>
  <c r="I421" i="5"/>
  <c r="I420" i="5"/>
  <c r="I419" i="5"/>
  <c r="I418" i="5"/>
  <c r="I417" i="5"/>
  <c r="I416" i="5"/>
  <c r="I430" i="4"/>
  <c r="I429" i="4"/>
  <c r="I428" i="4"/>
  <c r="I427" i="4"/>
  <c r="I426" i="4"/>
  <c r="I425" i="4"/>
  <c r="I424" i="4"/>
  <c r="I431" i="4" s="1"/>
  <c r="I412" i="5"/>
  <c r="I411" i="5"/>
  <c r="I410" i="5"/>
  <c r="I420" i="4"/>
  <c r="I419" i="4"/>
  <c r="I418" i="4"/>
  <c r="I422" i="4" s="1"/>
  <c r="I263" i="5"/>
  <c r="I262" i="5"/>
  <c r="I261" i="5"/>
  <c r="I260" i="5"/>
  <c r="I258" i="5"/>
  <c r="I257" i="5"/>
  <c r="I256" i="5"/>
  <c r="I251" i="5"/>
  <c r="E9" i="6"/>
  <c r="F9" i="6" s="1"/>
  <c r="I397" i="4"/>
  <c r="I394" i="4"/>
  <c r="I392" i="4"/>
  <c r="I387" i="5"/>
  <c r="I385" i="5"/>
  <c r="I356" i="5"/>
  <c r="I355" i="5"/>
  <c r="I354" i="5"/>
  <c r="I353" i="5"/>
  <c r="I352" i="5"/>
  <c r="I351" i="5"/>
  <c r="I350" i="5"/>
  <c r="I349" i="5"/>
  <c r="I348" i="5"/>
  <c r="I347" i="5"/>
  <c r="I346" i="5"/>
  <c r="I344" i="5"/>
  <c r="I350" i="4"/>
  <c r="I362" i="4"/>
  <c r="I361" i="4"/>
  <c r="I360" i="4"/>
  <c r="I359" i="4"/>
  <c r="I358" i="4"/>
  <c r="I357" i="4"/>
  <c r="I356" i="4"/>
  <c r="I355" i="4"/>
  <c r="I354" i="4"/>
  <c r="I353" i="4"/>
  <c r="I352" i="4"/>
  <c r="I347" i="4"/>
  <c r="I346" i="4"/>
  <c r="I345" i="4"/>
  <c r="I344" i="4"/>
  <c r="I341" i="4"/>
  <c r="I339" i="4"/>
  <c r="I335" i="5"/>
  <c r="I333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96" i="4" s="1"/>
  <c r="I270" i="5"/>
  <c r="I269" i="5"/>
  <c r="I268" i="5"/>
  <c r="I267" i="5"/>
  <c r="I279" i="4"/>
  <c r="I278" i="4"/>
  <c r="I277" i="4"/>
  <c r="I276" i="4"/>
  <c r="I280" i="4" s="1"/>
  <c r="I307" i="4"/>
  <c r="I306" i="4"/>
  <c r="I305" i="4"/>
  <c r="I302" i="4"/>
  <c r="I300" i="4"/>
  <c r="I294" i="5"/>
  <c r="I292" i="5"/>
  <c r="I248" i="5"/>
  <c r="I245" i="5"/>
  <c r="I244" i="5"/>
  <c r="I247" i="4"/>
  <c r="I246" i="4"/>
  <c r="I236" i="5"/>
  <c r="I235" i="5"/>
  <c r="I234" i="5"/>
  <c r="I237" i="4"/>
  <c r="I236" i="4"/>
  <c r="I235" i="4"/>
  <c r="I238" i="4" s="1"/>
  <c r="I308" i="4" l="1"/>
  <c r="I304" i="4" s="1"/>
  <c r="I348" i="4"/>
  <c r="I363" i="4"/>
  <c r="I296" i="5"/>
  <c r="I404" i="4"/>
  <c r="I271" i="5"/>
  <c r="I288" i="5"/>
  <c r="I357" i="5"/>
  <c r="I337" i="5" s="1"/>
  <c r="I237" i="5"/>
  <c r="I264" i="5"/>
  <c r="I414" i="5"/>
  <c r="I423" i="5"/>
  <c r="H9" i="6"/>
  <c r="I9" i="6"/>
  <c r="I343" i="4" l="1"/>
  <c r="I389" i="5"/>
  <c r="I247" i="5"/>
  <c r="I231" i="5"/>
  <c r="I230" i="5"/>
  <c r="I229" i="5"/>
  <c r="I228" i="5"/>
  <c r="I232" i="4"/>
  <c r="I231" i="4"/>
  <c r="I230" i="4"/>
  <c r="I229" i="4"/>
  <c r="I233" i="4" s="1"/>
  <c r="I135" i="5"/>
  <c r="I134" i="5"/>
  <c r="I133" i="5"/>
  <c r="I132" i="5"/>
  <c r="I131" i="5"/>
  <c r="I130" i="5"/>
  <c r="I129" i="5"/>
  <c r="I128" i="5"/>
  <c r="I127" i="5"/>
  <c r="I189" i="4"/>
  <c r="I188" i="4"/>
  <c r="I187" i="4"/>
  <c r="I205" i="5"/>
  <c r="I203" i="5"/>
  <c r="I199" i="5"/>
  <c r="I198" i="5"/>
  <c r="I212" i="4"/>
  <c r="I210" i="4"/>
  <c r="I206" i="4"/>
  <c r="I205" i="4"/>
  <c r="I190" i="4"/>
  <c r="I183" i="5"/>
  <c r="I182" i="5"/>
  <c r="I181" i="5"/>
  <c r="I180" i="5"/>
  <c r="I179" i="4"/>
  <c r="I184" i="4"/>
  <c r="I183" i="4"/>
  <c r="I182" i="4"/>
  <c r="I181" i="4"/>
  <c r="I180" i="4"/>
  <c r="I178" i="4"/>
  <c r="I177" i="4"/>
  <c r="I176" i="4"/>
  <c r="I175" i="4"/>
  <c r="I174" i="4"/>
  <c r="I185" i="4" s="1"/>
  <c r="I177" i="5"/>
  <c r="I176" i="5"/>
  <c r="I175" i="5"/>
  <c r="I174" i="5"/>
  <c r="I171" i="5"/>
  <c r="I170" i="5"/>
  <c r="I169" i="5"/>
  <c r="I168" i="5"/>
  <c r="I167" i="5"/>
  <c r="I164" i="5"/>
  <c r="I163" i="5"/>
  <c r="I159" i="5"/>
  <c r="I157" i="5"/>
  <c r="I162" i="4"/>
  <c r="I160" i="4"/>
  <c r="I157" i="4"/>
  <c r="I156" i="4"/>
  <c r="I155" i="4"/>
  <c r="I152" i="4"/>
  <c r="I151" i="4"/>
  <c r="I150" i="4"/>
  <c r="I149" i="4"/>
  <c r="I148" i="4"/>
  <c r="I147" i="4"/>
  <c r="I153" i="4" s="1"/>
  <c r="I149" i="5"/>
  <c r="I148" i="5"/>
  <c r="I147" i="5"/>
  <c r="I146" i="5"/>
  <c r="I145" i="5"/>
  <c r="I144" i="5"/>
  <c r="I141" i="5"/>
  <c r="I140" i="5"/>
  <c r="I139" i="5"/>
  <c r="I138" i="5"/>
  <c r="I144" i="4"/>
  <c r="I143" i="4"/>
  <c r="I142" i="4"/>
  <c r="I141" i="4"/>
  <c r="I145" i="4" s="1"/>
  <c r="I125" i="5"/>
  <c r="I128" i="4"/>
  <c r="D136" i="3"/>
  <c r="I191" i="4" l="1"/>
  <c r="I136" i="5"/>
  <c r="I158" i="4"/>
  <c r="I127" i="4" s="1"/>
  <c r="I165" i="5"/>
  <c r="I178" i="5"/>
  <c r="I232" i="5"/>
  <c r="I207" i="5" s="1"/>
  <c r="I201" i="5"/>
  <c r="I142" i="5"/>
  <c r="I150" i="5"/>
  <c r="I208" i="4"/>
  <c r="I164" i="4" s="1"/>
  <c r="I184" i="5"/>
  <c r="I125" i="4"/>
  <c r="I123" i="4"/>
  <c r="I122" i="5"/>
  <c r="I120" i="5"/>
  <c r="I111" i="5"/>
  <c r="I110" i="5"/>
  <c r="I109" i="5"/>
  <c r="I108" i="5"/>
  <c r="I107" i="5"/>
  <c r="I106" i="5"/>
  <c r="I105" i="5"/>
  <c r="I104" i="5"/>
  <c r="I114" i="4"/>
  <c r="I113" i="4"/>
  <c r="I112" i="4"/>
  <c r="I111" i="4"/>
  <c r="I110" i="4"/>
  <c r="I109" i="4"/>
  <c r="I108" i="4"/>
  <c r="I107" i="4"/>
  <c r="I124" i="5" l="1"/>
  <c r="I161" i="5"/>
  <c r="I112" i="5"/>
  <c r="I115" i="4"/>
  <c r="W96" i="4" l="1"/>
  <c r="I88" i="5"/>
  <c r="I87" i="5"/>
  <c r="I86" i="5"/>
  <c r="I85" i="5"/>
  <c r="I84" i="5"/>
  <c r="I83" i="5"/>
  <c r="I82" i="5"/>
  <c r="I84" i="4"/>
  <c r="I91" i="4" s="1"/>
  <c r="I79" i="5"/>
  <c r="I77" i="5"/>
  <c r="I81" i="4"/>
  <c r="I79" i="4"/>
  <c r="I75" i="4"/>
  <c r="I74" i="4"/>
  <c r="I77" i="4" s="1"/>
  <c r="I73" i="5"/>
  <c r="I72" i="5"/>
  <c r="I66" i="4"/>
  <c r="I65" i="4"/>
  <c r="I64" i="4"/>
  <c r="I63" i="4"/>
  <c r="I61" i="4"/>
  <c r="I60" i="4"/>
  <c r="I36" i="5"/>
  <c r="I39" i="5"/>
  <c r="I38" i="5"/>
  <c r="I33" i="5"/>
  <c r="I32" i="5"/>
  <c r="I31" i="5"/>
  <c r="I30" i="5"/>
  <c r="I29" i="5"/>
  <c r="I28" i="5"/>
  <c r="I25" i="5"/>
  <c r="I23" i="5"/>
  <c r="I22" i="5"/>
  <c r="I19" i="5"/>
  <c r="I18" i="5"/>
  <c r="I17" i="5"/>
  <c r="I16" i="5"/>
  <c r="I15" i="5"/>
  <c r="I14" i="5"/>
  <c r="I13" i="5"/>
  <c r="I12" i="5"/>
  <c r="I11" i="5"/>
  <c r="I8" i="5"/>
  <c r="I7" i="5"/>
  <c r="I45" i="4"/>
  <c r="I44" i="4"/>
  <c r="I43" i="4"/>
  <c r="I42" i="4"/>
  <c r="I39" i="4"/>
  <c r="I38" i="4"/>
  <c r="I36" i="4"/>
  <c r="I33" i="4"/>
  <c r="I32" i="4"/>
  <c r="I31" i="4"/>
  <c r="I30" i="4"/>
  <c r="I29" i="4"/>
  <c r="I28" i="4"/>
  <c r="I34" i="4" s="1"/>
  <c r="I25" i="4"/>
  <c r="I23" i="4"/>
  <c r="I22" i="4"/>
  <c r="I26" i="4" s="1"/>
  <c r="I16" i="4"/>
  <c r="I15" i="4"/>
  <c r="I14" i="4"/>
  <c r="I13" i="4"/>
  <c r="I12" i="4"/>
  <c r="I11" i="4"/>
  <c r="I8" i="4"/>
  <c r="Q183" i="3"/>
  <c r="P183" i="3"/>
  <c r="O183" i="3"/>
  <c r="N183" i="3"/>
  <c r="M183" i="3"/>
  <c r="Q175" i="3"/>
  <c r="P175" i="3"/>
  <c r="O175" i="3"/>
  <c r="N175" i="3"/>
  <c r="M175" i="3"/>
  <c r="Q167" i="3"/>
  <c r="P167" i="3"/>
  <c r="O167" i="3"/>
  <c r="N167" i="3"/>
  <c r="M167" i="3"/>
  <c r="Q159" i="3"/>
  <c r="P159" i="3"/>
  <c r="O159" i="3"/>
  <c r="N159" i="3"/>
  <c r="M159" i="3"/>
  <c r="Q151" i="3"/>
  <c r="P151" i="3"/>
  <c r="O151" i="3"/>
  <c r="N151" i="3"/>
  <c r="M151" i="3"/>
  <c r="Q144" i="3"/>
  <c r="Q152" i="3" s="1"/>
  <c r="P144" i="3"/>
  <c r="O144" i="3"/>
  <c r="O152" i="3" s="1"/>
  <c r="N144" i="3"/>
  <c r="M144" i="3"/>
  <c r="Q136" i="3"/>
  <c r="P136" i="3"/>
  <c r="O136" i="3"/>
  <c r="N136" i="3"/>
  <c r="M136" i="3"/>
  <c r="Q128" i="3"/>
  <c r="Q137" i="3" s="1"/>
  <c r="P128" i="3"/>
  <c r="O128" i="3"/>
  <c r="O137" i="3" s="1"/>
  <c r="N128" i="3"/>
  <c r="M128" i="3"/>
  <c r="Q120" i="3"/>
  <c r="P120" i="3"/>
  <c r="O120" i="3"/>
  <c r="N120" i="3"/>
  <c r="M120" i="3"/>
  <c r="Q112" i="3"/>
  <c r="P112" i="3"/>
  <c r="O112" i="3"/>
  <c r="N112" i="3"/>
  <c r="M112" i="3"/>
  <c r="Q103" i="3"/>
  <c r="P103" i="3"/>
  <c r="O103" i="3"/>
  <c r="N103" i="3"/>
  <c r="M103" i="3"/>
  <c r="Q95" i="3"/>
  <c r="P95" i="3"/>
  <c r="O95" i="3"/>
  <c r="N95" i="3"/>
  <c r="M95" i="3"/>
  <c r="Q87" i="3"/>
  <c r="P87" i="3"/>
  <c r="O87" i="3"/>
  <c r="N87" i="3"/>
  <c r="M87" i="3"/>
  <c r="Q79" i="3"/>
  <c r="P79" i="3"/>
  <c r="O79" i="3"/>
  <c r="N79" i="3"/>
  <c r="M79" i="3"/>
  <c r="Q71" i="3"/>
  <c r="P71" i="3"/>
  <c r="O71" i="3"/>
  <c r="N71" i="3"/>
  <c r="M71" i="3"/>
  <c r="Q64" i="3"/>
  <c r="P64" i="3"/>
  <c r="O64" i="3"/>
  <c r="N64" i="3"/>
  <c r="M64" i="3"/>
  <c r="Q57" i="3"/>
  <c r="P57" i="3"/>
  <c r="O57" i="3"/>
  <c r="N57" i="3"/>
  <c r="M57" i="3"/>
  <c r="Q50" i="3"/>
  <c r="P50" i="3"/>
  <c r="O50" i="3"/>
  <c r="N50" i="3"/>
  <c r="M50" i="3"/>
  <c r="Q42" i="3"/>
  <c r="P42" i="3"/>
  <c r="O42" i="3"/>
  <c r="N42" i="3"/>
  <c r="M42" i="3"/>
  <c r="Q34" i="3"/>
  <c r="P34" i="3"/>
  <c r="O34" i="3"/>
  <c r="N34" i="3"/>
  <c r="M34" i="3"/>
  <c r="I7" i="4"/>
  <c r="I6" i="4"/>
  <c r="I20" i="4" l="1"/>
  <c r="I83" i="4"/>
  <c r="I70" i="4"/>
  <c r="I89" i="5"/>
  <c r="I81" i="5" s="1"/>
  <c r="I9" i="4"/>
  <c r="I5" i="4" s="1"/>
  <c r="I46" i="4"/>
  <c r="I9" i="5"/>
  <c r="I20" i="5"/>
  <c r="I34" i="5"/>
  <c r="M168" i="3"/>
  <c r="O168" i="3"/>
  <c r="Q168" i="3"/>
  <c r="M184" i="3"/>
  <c r="O184" i="3"/>
  <c r="Q184" i="3"/>
  <c r="O58" i="3"/>
  <c r="Q58" i="3"/>
  <c r="O72" i="3"/>
  <c r="Q72" i="3"/>
  <c r="O88" i="3"/>
  <c r="Q88" i="3"/>
  <c r="O104" i="3"/>
  <c r="Q104" i="3"/>
  <c r="O121" i="3"/>
  <c r="Q121" i="3"/>
  <c r="N58" i="3"/>
  <c r="P58" i="3"/>
  <c r="N72" i="3"/>
  <c r="P72" i="3"/>
  <c r="N88" i="3"/>
  <c r="P88" i="3"/>
  <c r="N104" i="3"/>
  <c r="P104" i="3"/>
  <c r="N121" i="3"/>
  <c r="P121" i="3"/>
  <c r="N137" i="3"/>
  <c r="P137" i="3"/>
  <c r="N152" i="3"/>
  <c r="P152" i="3"/>
  <c r="N168" i="3"/>
  <c r="P168" i="3"/>
  <c r="N184" i="3"/>
  <c r="P184" i="3"/>
  <c r="Q43" i="3"/>
  <c r="P43" i="3"/>
  <c r="O43" i="3"/>
  <c r="N43" i="3"/>
  <c r="N185" i="3" s="1"/>
  <c r="N187" i="3" s="1"/>
  <c r="M152" i="3"/>
  <c r="M121" i="3"/>
  <c r="M104" i="3"/>
  <c r="M88" i="3"/>
  <c r="M137" i="3"/>
  <c r="M72" i="3"/>
  <c r="I75" i="5"/>
  <c r="I41" i="5" s="1"/>
  <c r="M58" i="3"/>
  <c r="I26" i="5"/>
  <c r="M43" i="3"/>
  <c r="I41" i="4" l="1"/>
  <c r="A2" i="4" s="1"/>
  <c r="I5" i="5"/>
  <c r="A2" i="5" s="1"/>
  <c r="Q185" i="3"/>
  <c r="Q187" i="3" s="1"/>
  <c r="P185" i="3"/>
  <c r="P187" i="3" s="1"/>
  <c r="O185" i="3"/>
  <c r="O187" i="3" s="1"/>
  <c r="M185" i="3"/>
  <c r="D151" i="3" l="1"/>
  <c r="E167" i="3"/>
  <c r="F167" i="3"/>
  <c r="G167" i="3"/>
  <c r="H167" i="3"/>
  <c r="D167" i="3"/>
  <c r="D79" i="3" l="1"/>
  <c r="E71" i="3" l="1"/>
  <c r="F71" i="3"/>
  <c r="G71" i="3"/>
  <c r="H71" i="3"/>
  <c r="D71" i="3"/>
  <c r="E57" i="3"/>
  <c r="F57" i="3"/>
  <c r="G57" i="3"/>
  <c r="H57" i="3"/>
  <c r="D57" i="3"/>
  <c r="H183" i="3" l="1"/>
  <c r="G183" i="3"/>
  <c r="F183" i="3"/>
  <c r="E183" i="3"/>
  <c r="D183" i="3"/>
  <c r="H175" i="3"/>
  <c r="G175" i="3"/>
  <c r="F175" i="3"/>
  <c r="E175" i="3"/>
  <c r="D175" i="3"/>
  <c r="H159" i="3"/>
  <c r="G159" i="3"/>
  <c r="G168" i="3" s="1"/>
  <c r="F159" i="3"/>
  <c r="E159" i="3"/>
  <c r="E168" i="3" s="1"/>
  <c r="D159" i="3"/>
  <c r="H151" i="3"/>
  <c r="G151" i="3"/>
  <c r="F151" i="3"/>
  <c r="E151" i="3"/>
  <c r="H144" i="3"/>
  <c r="H152" i="3" s="1"/>
  <c r="G144" i="3"/>
  <c r="F144" i="3"/>
  <c r="F152" i="3" s="1"/>
  <c r="E144" i="3"/>
  <c r="D144" i="3"/>
  <c r="H136" i="3"/>
  <c r="G136" i="3"/>
  <c r="F136" i="3"/>
  <c r="E136" i="3"/>
  <c r="H128" i="3"/>
  <c r="H137" i="3" s="1"/>
  <c r="G128" i="3"/>
  <c r="G137" i="3" s="1"/>
  <c r="F128" i="3"/>
  <c r="F137" i="3" s="1"/>
  <c r="E128" i="3"/>
  <c r="E137" i="3" s="1"/>
  <c r="D128" i="3"/>
  <c r="H120" i="3"/>
  <c r="G120" i="3"/>
  <c r="F120" i="3"/>
  <c r="E120" i="3"/>
  <c r="D120" i="3"/>
  <c r="H112" i="3"/>
  <c r="G112" i="3"/>
  <c r="F112" i="3"/>
  <c r="E112" i="3"/>
  <c r="D112" i="3"/>
  <c r="H103" i="3"/>
  <c r="G103" i="3"/>
  <c r="F103" i="3"/>
  <c r="E103" i="3"/>
  <c r="D103" i="3"/>
  <c r="H95" i="3"/>
  <c r="G95" i="3"/>
  <c r="F95" i="3"/>
  <c r="E95" i="3"/>
  <c r="D95" i="3"/>
  <c r="H87" i="3"/>
  <c r="G87" i="3"/>
  <c r="F87" i="3"/>
  <c r="E87" i="3"/>
  <c r="D87" i="3"/>
  <c r="D88" i="3" s="1"/>
  <c r="H79" i="3"/>
  <c r="G79" i="3"/>
  <c r="F79" i="3"/>
  <c r="E79" i="3"/>
  <c r="H64" i="3"/>
  <c r="H72" i="3" s="1"/>
  <c r="G64" i="3"/>
  <c r="G72" i="3" s="1"/>
  <c r="F64" i="3"/>
  <c r="E64" i="3"/>
  <c r="D64" i="3"/>
  <c r="H50" i="3"/>
  <c r="G50" i="3"/>
  <c r="G58" i="3" s="1"/>
  <c r="F50" i="3"/>
  <c r="E50" i="3"/>
  <c r="E58" i="3" s="1"/>
  <c r="D50" i="3"/>
  <c r="H42" i="3"/>
  <c r="G42" i="3"/>
  <c r="F42" i="3"/>
  <c r="E42" i="3"/>
  <c r="D42" i="3"/>
  <c r="H34" i="3"/>
  <c r="G34" i="3"/>
  <c r="F34" i="3"/>
  <c r="E34" i="3"/>
  <c r="D34" i="3"/>
  <c r="E104" i="3" l="1"/>
  <c r="G104" i="3"/>
  <c r="E184" i="3"/>
  <c r="G184" i="3"/>
  <c r="E121" i="3"/>
  <c r="G121" i="3"/>
  <c r="G43" i="3"/>
  <c r="E43" i="3"/>
  <c r="F88" i="3"/>
  <c r="H88" i="3"/>
  <c r="H121" i="3"/>
  <c r="D184" i="3"/>
  <c r="D168" i="3"/>
  <c r="D152" i="3"/>
  <c r="D137" i="3"/>
  <c r="D121" i="3"/>
  <c r="D104" i="3"/>
  <c r="E72" i="3"/>
  <c r="D72" i="3"/>
  <c r="D43" i="3"/>
  <c r="D58" i="3"/>
  <c r="F184" i="3"/>
  <c r="H184" i="3"/>
  <c r="F168" i="3"/>
  <c r="H168" i="3"/>
  <c r="E152" i="3"/>
  <c r="G152" i="3"/>
  <c r="F121" i="3"/>
  <c r="F104" i="3"/>
  <c r="H104" i="3"/>
  <c r="E88" i="3"/>
  <c r="G88" i="3"/>
  <c r="F72" i="3"/>
  <c r="F58" i="3"/>
  <c r="H58" i="3"/>
  <c r="F43" i="3"/>
  <c r="H43" i="3"/>
  <c r="G185" i="3" l="1"/>
  <c r="G187" i="3" s="1"/>
  <c r="H185" i="3"/>
  <c r="H187" i="3" s="1"/>
  <c r="D185" i="3"/>
  <c r="E185" i="3"/>
  <c r="E187" i="3" s="1"/>
  <c r="F185" i="3"/>
  <c r="F187" i="3" s="1"/>
</calcChain>
</file>

<file path=xl/sharedStrings.xml><?xml version="1.0" encoding="utf-8"?>
<sst xmlns="http://schemas.openxmlformats.org/spreadsheetml/2006/main" count="1867" uniqueCount="404">
  <si>
    <t>Приём пищи</t>
  </si>
  <si>
    <t>Наименование блюда</t>
  </si>
  <si>
    <t>Вес блюда</t>
  </si>
  <si>
    <t>Завтрак</t>
  </si>
  <si>
    <t>Хлеб пшеничный</t>
  </si>
  <si>
    <t>Чай с лимоном</t>
  </si>
  <si>
    <t>Итого за завтрак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</si>
  <si>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</si>
  <si>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</si>
  <si>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</si>
  <si>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</si>
  <si>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</si>
  <si>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</si>
  <si>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1 неделя  1 день</t>
  </si>
  <si>
    <t>Фрукт порционно</t>
  </si>
  <si>
    <t>Молоко  в ИУ</t>
  </si>
  <si>
    <t>1 неделя  2 день</t>
  </si>
  <si>
    <t>Наименование сырья</t>
  </si>
  <si>
    <t>Расход сырья и полуфабрикатов</t>
  </si>
  <si>
    <t>1 порц.</t>
  </si>
  <si>
    <t>брутто, г</t>
  </si>
  <si>
    <t>нетто, г</t>
  </si>
  <si>
    <t>Масло сливочное</t>
  </si>
  <si>
    <t>Выход</t>
  </si>
  <si>
    <t>Бутерброд с маслом и сыром</t>
  </si>
  <si>
    <t>цена за гк/л</t>
  </si>
  <si>
    <t>сумма</t>
  </si>
  <si>
    <t>масса порции</t>
  </si>
  <si>
    <t>3/11-18</t>
  </si>
  <si>
    <t>Крупа рисовая</t>
  </si>
  <si>
    <t>Пшено</t>
  </si>
  <si>
    <t>Молоко</t>
  </si>
  <si>
    <t>Вода</t>
  </si>
  <si>
    <t>Сахарный песок</t>
  </si>
  <si>
    <t>Соль пищевая йодированная</t>
  </si>
  <si>
    <t>-</t>
  </si>
  <si>
    <t>наименование блюда</t>
  </si>
  <si>
    <t>54-Згн-2020</t>
  </si>
  <si>
    <t>Чай с лимоном и сахаром</t>
  </si>
  <si>
    <t>Согласовано:</t>
  </si>
  <si>
    <t>Утверждаю:</t>
  </si>
  <si>
    <t xml:space="preserve">Начальник территориального отдела Управления </t>
  </si>
  <si>
    <t>Начальник управления образования администрации</t>
  </si>
  <si>
    <t>Федеральной службы по надзору в сфере защиты прав потребителей</t>
  </si>
  <si>
    <t>муниципального района "Корочанский район"</t>
  </si>
  <si>
    <t xml:space="preserve"> и благополучия человека по Белгородской области в Губкинском районе</t>
  </si>
  <si>
    <t>"_____"_____________  2021 г.</t>
  </si>
  <si>
    <t>Н.С. Имамедова</t>
  </si>
  <si>
    <t>"_____"______________ 2021 г.</t>
  </si>
  <si>
    <t>Г.И. Крештель</t>
  </si>
  <si>
    <t>Перспективное меню завтраков, обедов и полдников</t>
  </si>
  <si>
    <t xml:space="preserve">для организации горячего питания в общеобразовательных учреждений  </t>
  </si>
  <si>
    <t>муниципального района «Корочанский район»</t>
  </si>
  <si>
    <t>(осенне-зимний период)</t>
  </si>
  <si>
    <t>на 2021-2022 учебный год</t>
  </si>
  <si>
    <t xml:space="preserve">Возрастная категория: 7-11 лет </t>
  </si>
  <si>
    <t>Возрастная категория: 12 лет и старше</t>
  </si>
  <si>
    <t>Возрастная категория: 7-11 лет</t>
  </si>
  <si>
    <t>Неделя 1</t>
  </si>
  <si>
    <t>День 1</t>
  </si>
  <si>
    <t>Омлет натуральный</t>
  </si>
  <si>
    <t>Обед</t>
  </si>
  <si>
    <t>Каша гречневая рассыпчатая</t>
  </si>
  <si>
    <t>Хлеб ржаной (ржано-пшеничный)</t>
  </si>
  <si>
    <t>Итого за обед</t>
  </si>
  <si>
    <t>Итого за день</t>
  </si>
  <si>
    <t>День 2</t>
  </si>
  <si>
    <t>Икра кабачковая</t>
  </si>
  <si>
    <t>Щи из свежей капусты с картофелем</t>
  </si>
  <si>
    <t>День 3</t>
  </si>
  <si>
    <t xml:space="preserve">Гуляш </t>
  </si>
  <si>
    <t>День 4</t>
  </si>
  <si>
    <t>Салат из свеклы отварной</t>
  </si>
  <si>
    <t>Картофельное пюре</t>
  </si>
  <si>
    <t>Рыба тушеная с овощами</t>
  </si>
  <si>
    <t>День 5</t>
  </si>
  <si>
    <t>Каша рисовая молочная вязкая</t>
  </si>
  <si>
    <t>Салат из соленых огурцов с луком</t>
  </si>
  <si>
    <t xml:space="preserve">Жаркое по-домашнему </t>
  </si>
  <si>
    <t>Неделя 2</t>
  </si>
  <si>
    <t>Запеканка из творога с повидлом</t>
  </si>
  <si>
    <t>Кисель из концентрата плодового или ягодного</t>
  </si>
  <si>
    <t>Суп картофельный с горохом</t>
  </si>
  <si>
    <t>Рагу из птицы</t>
  </si>
  <si>
    <t>Среднее значение за период:</t>
  </si>
  <si>
    <t>Средняя потребность (60% от суточной потребности):</t>
  </si>
  <si>
    <t>Процент удовлетворения потребности:</t>
  </si>
  <si>
    <t>Сок (в ассортименте)</t>
  </si>
  <si>
    <t>Макароны отварные с сыром</t>
  </si>
  <si>
    <t>Чай с сахаром</t>
  </si>
  <si>
    <t>хлеб пшеничный</t>
  </si>
  <si>
    <t>Компот из смеси фруктов</t>
  </si>
  <si>
    <t>Какао с молоком</t>
  </si>
  <si>
    <t>Салат "Молодость"</t>
  </si>
  <si>
    <t>Запеканка из творога со сметаной</t>
  </si>
  <si>
    <t>Хлебобулочное изделие</t>
  </si>
  <si>
    <t>Рыба запеченная под соусом</t>
  </si>
  <si>
    <t>Рассольник ленинградский</t>
  </si>
  <si>
    <t>Каша молочная пшенная жидкая</t>
  </si>
  <si>
    <t>Макароны отварные</t>
  </si>
  <si>
    <t>Птица запеченая</t>
  </si>
  <si>
    <t>Суп картофельный с фасолью</t>
  </si>
  <si>
    <t>Тефтели "Детские" с соусом</t>
  </si>
  <si>
    <t>80/20</t>
  </si>
  <si>
    <t xml:space="preserve">Бутерброд с сыром и маслом </t>
  </si>
  <si>
    <t>Салат из белокачанной капусты с морковью</t>
  </si>
  <si>
    <t>Суп картофельный с групой (пшено)</t>
  </si>
  <si>
    <t>Котлета "Куриная" рубленная из цыплят бройлеров</t>
  </si>
  <si>
    <t>Суп картофельный с гречневой крупой</t>
  </si>
  <si>
    <t>Рис отварной с маслом сливочным</t>
  </si>
  <si>
    <t>1 неделя  3 день</t>
  </si>
  <si>
    <t>Омлет натуральный с маслом</t>
  </si>
  <si>
    <t>Выход готового блюда</t>
  </si>
  <si>
    <t>50 гр яйцо</t>
  </si>
  <si>
    <t>Яйцо</t>
  </si>
  <si>
    <t>1 неделя  4 день</t>
  </si>
  <si>
    <t>Творог</t>
  </si>
  <si>
    <t>Крупа манная</t>
  </si>
  <si>
    <t>Ванилин</t>
  </si>
  <si>
    <t>~ Масса полуфабриката</t>
  </si>
  <si>
    <t>1 неделя  5 день</t>
  </si>
  <si>
    <t>Каш овсяная "Геркулес" молочная вязкая</t>
  </si>
  <si>
    <t>1 неделя  6 день</t>
  </si>
  <si>
    <t>Морковь столовая очищенная полуфабрикат</t>
  </si>
  <si>
    <r>
      <t xml:space="preserve">или </t>
    </r>
    <r>
      <rPr>
        <sz val="11"/>
        <color theme="1"/>
        <rFont val="Times New Roman"/>
        <family val="1"/>
        <charset val="204"/>
      </rPr>
      <t>морковь столовая свежая</t>
    </r>
  </si>
  <si>
    <t>Масло растительное</t>
  </si>
  <si>
    <t>Выход:</t>
  </si>
  <si>
    <t>салат из моркови с растительным маслом</t>
  </si>
  <si>
    <t xml:space="preserve">1 литр растительного масла равен 925 грамм </t>
  </si>
  <si>
    <t>Капуста белокочанная</t>
  </si>
  <si>
    <t>Картофель</t>
  </si>
  <si>
    <t>Морковь</t>
  </si>
  <si>
    <t>Лук репчатый</t>
  </si>
  <si>
    <t>Томат-пюре</t>
  </si>
  <si>
    <t>Бульон мясной</t>
  </si>
  <si>
    <t>или Бульон куриный</t>
  </si>
  <si>
    <t>или Вода</t>
  </si>
  <si>
    <t>Возрастная категория: 12-18 лет</t>
  </si>
  <si>
    <t>Гречневая крупа</t>
  </si>
  <si>
    <t>~ Масса каши</t>
  </si>
  <si>
    <t>Грудка ЦБ</t>
  </si>
  <si>
    <t>Сухари</t>
  </si>
  <si>
    <t>Соль йодированная</t>
  </si>
  <si>
    <t>сок</t>
  </si>
  <si>
    <t>1 литр растительного масла равен 925 грамм  110 р. За 1 = 119 р.кг</t>
  </si>
  <si>
    <t>хлеб ржано-пшеничный</t>
  </si>
  <si>
    <t>Огурцы соленые</t>
  </si>
  <si>
    <t>Лук зеленый</t>
  </si>
  <si>
    <t>или Лук репчатый</t>
  </si>
  <si>
    <t>Горох</t>
  </si>
  <si>
    <t>Петрушка (корень)</t>
  </si>
  <si>
    <t>Лавровый лист</t>
  </si>
  <si>
    <t xml:space="preserve">Бульон </t>
  </si>
  <si>
    <t>или вода</t>
  </si>
  <si>
    <r>
      <t xml:space="preserve">Выход: </t>
    </r>
    <r>
      <rPr>
        <sz val="10"/>
        <color theme="1"/>
        <rFont val="Times New Roman"/>
        <family val="1"/>
        <charset val="204"/>
      </rPr>
      <t>200</t>
    </r>
  </si>
  <si>
    <t>Говядина 1 кат.</t>
  </si>
  <si>
    <r>
      <t xml:space="preserve">Выход: </t>
    </r>
    <r>
      <rPr>
        <sz val="10"/>
        <color theme="1"/>
        <rFont val="Times New Roman"/>
        <family val="1"/>
        <charset val="204"/>
      </rPr>
      <t>180</t>
    </r>
  </si>
  <si>
    <t xml:space="preserve">Компот из смеси сухофруктов </t>
  </si>
  <si>
    <t>Смесь сухофруктов</t>
  </si>
  <si>
    <t xml:space="preserve">Салат "Молодость" </t>
  </si>
  <si>
    <t>Капуста</t>
  </si>
  <si>
    <t>Зеленый лук</t>
  </si>
  <si>
    <t>Сахар</t>
  </si>
  <si>
    <t>Масло Растительное</t>
  </si>
  <si>
    <t>Укроп</t>
  </si>
  <si>
    <t>Лимонная кислота</t>
  </si>
  <si>
    <t>Макаронные изделия</t>
  </si>
  <si>
    <t xml:space="preserve">Суп картофельный с макаронными изделиями </t>
  </si>
  <si>
    <r>
      <t xml:space="preserve">Выход: </t>
    </r>
    <r>
      <rPr>
        <sz val="10"/>
        <color theme="1"/>
        <rFont val="Times New Roman"/>
        <family val="1"/>
        <charset val="204"/>
      </rPr>
      <t>250</t>
    </r>
  </si>
  <si>
    <t>Плов с курицей</t>
  </si>
  <si>
    <t>Куриная грудка (филе)</t>
  </si>
  <si>
    <t>икра кабачковая</t>
  </si>
  <si>
    <r>
      <t xml:space="preserve">Грудка ЦБ охл. </t>
    </r>
    <r>
      <rPr>
        <b/>
        <sz val="8"/>
        <rFont val="Arial"/>
        <family val="2"/>
        <charset val="204"/>
      </rPr>
      <t>ГОСТ 32737-2014</t>
    </r>
  </si>
  <si>
    <t>200/10</t>
  </si>
  <si>
    <t>суп-лапша</t>
  </si>
  <si>
    <t>250/15</t>
  </si>
  <si>
    <t xml:space="preserve">Картофельное пюре </t>
  </si>
  <si>
    <r>
      <t xml:space="preserve">Выход: </t>
    </r>
    <r>
      <rPr>
        <sz val="10"/>
        <color theme="1"/>
        <rFont val="Times New Roman"/>
        <family val="1"/>
        <charset val="204"/>
      </rPr>
      <t>150</t>
    </r>
  </si>
  <si>
    <r>
      <t xml:space="preserve">Грудка ЦБ охл. </t>
    </r>
    <r>
      <rPr>
        <b/>
        <sz val="9"/>
        <rFont val="Arial"/>
        <family val="2"/>
        <charset val="204"/>
      </rPr>
      <t>ГОСТ 32737-2014</t>
    </r>
  </si>
  <si>
    <t>Рыба б/г</t>
  </si>
  <si>
    <t>Сметана</t>
  </si>
  <si>
    <t>Вода или бульон</t>
  </si>
  <si>
    <t>Мука</t>
  </si>
  <si>
    <t>Концентрат киселя витаминизированного</t>
  </si>
  <si>
    <t>кисель</t>
  </si>
  <si>
    <t xml:space="preserve">Рассольник ленинградский </t>
  </si>
  <si>
    <t>Огурец соленый</t>
  </si>
  <si>
    <t>18.75</t>
  </si>
  <si>
    <t>Крупа гречневая</t>
  </si>
  <si>
    <t>каша гречневая рассыпчатая</t>
  </si>
  <si>
    <t>Говядина ГОСТ 54754</t>
  </si>
  <si>
    <t>Фасоль</t>
  </si>
  <si>
    <t>Выход: 250</t>
  </si>
  <si>
    <t>Бульон</t>
  </si>
  <si>
    <t xml:space="preserve">Макароны отварные </t>
  </si>
  <si>
    <t>Птица запеченая (окорочок кур.) порционная</t>
  </si>
  <si>
    <r>
      <t xml:space="preserve">Окорочок ЦБ (охл) </t>
    </r>
    <r>
      <rPr>
        <b/>
        <sz val="8"/>
        <rFont val="Arial"/>
        <family val="2"/>
        <charset val="204"/>
      </rPr>
      <t>ГОСТ32737-2014</t>
    </r>
  </si>
  <si>
    <r>
      <t xml:space="preserve">Окорочок ЦБ (охл) </t>
    </r>
    <r>
      <rPr>
        <b/>
        <sz val="8"/>
        <rFont val="Arial"/>
        <family val="2"/>
        <charset val="204"/>
      </rPr>
      <t>ГОСТ 32737-2014</t>
    </r>
  </si>
  <si>
    <t xml:space="preserve">   8 день</t>
  </si>
  <si>
    <t xml:space="preserve">  6 день</t>
  </si>
  <si>
    <t xml:space="preserve">   7 день</t>
  </si>
  <si>
    <t>Петрушка (зелень)</t>
  </si>
  <si>
    <t>Рагу из курицы</t>
  </si>
  <si>
    <t>Мука пшеничная</t>
  </si>
  <si>
    <t xml:space="preserve">Салат из свеклы отварной </t>
  </si>
  <si>
    <t>Свекла</t>
  </si>
  <si>
    <r>
      <t xml:space="preserve">Выход: </t>
    </r>
    <r>
      <rPr>
        <sz val="10"/>
        <color theme="1"/>
        <rFont val="Times New Roman"/>
        <family val="1"/>
        <charset val="204"/>
      </rPr>
      <t>60</t>
    </r>
  </si>
  <si>
    <r>
      <t xml:space="preserve">Выход: </t>
    </r>
    <r>
      <rPr>
        <sz val="10"/>
        <color theme="1"/>
        <rFont val="Times New Roman"/>
        <family val="1"/>
        <charset val="204"/>
      </rPr>
      <t>100</t>
    </r>
  </si>
  <si>
    <t>90/25</t>
  </si>
  <si>
    <t>*Вода</t>
  </si>
  <si>
    <t>Приготовление соуса: 333</t>
  </si>
  <si>
    <t>Томатное пюре</t>
  </si>
  <si>
    <t xml:space="preserve">Тефтели "Детские" с соусом </t>
  </si>
  <si>
    <r>
      <t xml:space="preserve">Выход: </t>
    </r>
    <r>
      <rPr>
        <sz val="10"/>
        <color theme="1"/>
        <rFont val="Times New Roman"/>
        <family val="1"/>
        <charset val="204"/>
      </rPr>
      <t>90</t>
    </r>
  </si>
  <si>
    <t xml:space="preserve">   9 день</t>
  </si>
  <si>
    <t>Суп картофельный с крупой  пшено</t>
  </si>
  <si>
    <t>Масло подсолнечное</t>
  </si>
  <si>
    <t>Бульон мясной № 511</t>
  </si>
  <si>
    <t>Крупа перловая</t>
  </si>
  <si>
    <t>или Крупа овсяная</t>
  </si>
  <si>
    <t>или Пшеничная крупа</t>
  </si>
  <si>
    <t>или Крупа манная</t>
  </si>
  <si>
    <t>или Рис, зерно продовольственное</t>
  </si>
  <si>
    <t>или Крупа пшено шлифованное</t>
  </si>
  <si>
    <t>или Овсяные хлопья "Геркулес"</t>
  </si>
  <si>
    <t>Морковь, красная</t>
  </si>
  <si>
    <t xml:space="preserve">   10 день</t>
  </si>
  <si>
    <t>Салат из белокочанной капусты с морковью</t>
  </si>
  <si>
    <t>КАРТОФЕЛЬ</t>
  </si>
  <si>
    <t>суп кртофельный с гречневой крупой</t>
  </si>
  <si>
    <t>с 01.01 по 29.02</t>
  </si>
  <si>
    <t>с 01.03 по 31.07</t>
  </si>
  <si>
    <t>с 01.08 по 31.08</t>
  </si>
  <si>
    <t>с 01.09 по 31.10</t>
  </si>
  <si>
    <t>с 01.11 по 31.12</t>
  </si>
  <si>
    <t>КРУПА ГРЕЧНЕВАЯ ЯДРИЦА</t>
  </si>
  <si>
    <t>МОРКОВЬ</t>
  </si>
  <si>
    <t>с 01.01 по 31.08</t>
  </si>
  <si>
    <t>с 01.09 по 31.12</t>
  </si>
  <si>
    <t>ЛУК РЕПЧАТЫЙ</t>
  </si>
  <si>
    <t>МАСЛО ПОДСОЛНЕЧНОЕ</t>
  </si>
  <si>
    <t>ВОДА</t>
  </si>
  <si>
    <t>СОЛЬ ЙОДИРОВАННАЯ</t>
  </si>
  <si>
    <t>рис отварной</t>
  </si>
  <si>
    <t>Минтай</t>
  </si>
  <si>
    <t xml:space="preserve">Рыба, тушенная с овощами </t>
  </si>
  <si>
    <t xml:space="preserve">Каша "Дружба" </t>
  </si>
  <si>
    <t>54-16к-20</t>
  </si>
  <si>
    <t>* с 01.03 салат из отварной моркови</t>
  </si>
  <si>
    <t>*Салат из моркови с растительным маслом</t>
  </si>
  <si>
    <t>54-1с-20</t>
  </si>
  <si>
    <t>54-4г-20</t>
  </si>
  <si>
    <t>54-5м-20</t>
  </si>
  <si>
    <t>№ п/п</t>
  </si>
  <si>
    <t>Наименование пищевого продукта или группы продуктов</t>
  </si>
  <si>
    <t>Факт (за 10 дней)</t>
  </si>
  <si>
    <t>Отклонение</t>
  </si>
  <si>
    <t>% выполнения</t>
  </si>
  <si>
    <t>норма (в нетто г, мл. на 1  чел. в сутки)</t>
  </si>
  <si>
    <t>Хлеб ржаной</t>
  </si>
  <si>
    <t>Крупы, бобовые</t>
  </si>
  <si>
    <t>Овощи (свежие, замороженные, консервированные), включая соленые и квашеные (не более 10% от общего количества овощей), в т.ч. томат-пюре, зелень, г.</t>
  </si>
  <si>
    <t>Фрукты свежие</t>
  </si>
  <si>
    <t>Сухофрукты</t>
  </si>
  <si>
    <t>Соки фруктовые и овощные</t>
  </si>
  <si>
    <t>Мясо 1 -й категории</t>
  </si>
  <si>
    <t>Субпродукты (печень, язык, сердце)</t>
  </si>
  <si>
    <t>Птица (куры, цыплята- бройлеры, индейка - потрошенная, 1 кат.)</t>
  </si>
  <si>
    <t>Рыба (филе), в т.ч. филе слабо- или малосоленое</t>
  </si>
  <si>
    <t>Кисломолочная пищевая продукция</t>
  </si>
  <si>
    <t>Творог (5%-9% м.д.ж.)</t>
  </si>
  <si>
    <t>Сыр</t>
  </si>
  <si>
    <t>Яйцо,  1 шт. - 50 г</t>
  </si>
  <si>
    <t>Сахар (в том числе для приготовления блюд и напитков, в случае использования пищевой продукции промышленного выпуска, содержащих сахар выдача сахара должна быть уменьшена в зависимости от его содержания в используемом готовой пищевой продукции)</t>
  </si>
  <si>
    <t>Кондитерские изделия</t>
  </si>
  <si>
    <t>Чай</t>
  </si>
  <si>
    <t>Какао-порошок</t>
  </si>
  <si>
    <t>Кофейный напиток</t>
  </si>
  <si>
    <t>Дрожжи хлебопекарные</t>
  </si>
  <si>
    <t>Крахмал</t>
  </si>
  <si>
    <t>Соль пищевая поваренная йодированная</t>
  </si>
  <si>
    <t>Специи</t>
  </si>
  <si>
    <t>7-11 лет</t>
  </si>
  <si>
    <t>12-18 лет</t>
  </si>
  <si>
    <t>60% от суточной нормы,  потребление в школе</t>
  </si>
  <si>
    <t xml:space="preserve"> за 1 день</t>
  </si>
  <si>
    <t>Факт за 1 день</t>
  </si>
  <si>
    <t>Сахар-песок</t>
  </si>
  <si>
    <t>какао с молоком</t>
  </si>
  <si>
    <t>Каша манная молочная жидкая</t>
  </si>
  <si>
    <t>Суп крестьянский со сметаной</t>
  </si>
  <si>
    <t>Суп-лапша</t>
  </si>
  <si>
    <t>Напиток апельсиновый или лимонный (с лимоном)</t>
  </si>
  <si>
    <t>или Картофель быстрозамороженный</t>
  </si>
  <si>
    <t>или Морковь красная быстрозамороженная</t>
  </si>
  <si>
    <t>Лук</t>
  </si>
  <si>
    <t>или Лук репчатый быстрозамороженный</t>
  </si>
  <si>
    <t>Петрушка</t>
  </si>
  <si>
    <t xml:space="preserve">Суп крестьянский со сметаной </t>
  </si>
  <si>
    <t>напиток лимонный</t>
  </si>
  <si>
    <t>Лимон</t>
  </si>
  <si>
    <t>Суп картофельный с макаронными изделиями (вермишель)</t>
  </si>
  <si>
    <t>Бульон куриный</t>
  </si>
  <si>
    <t>или Бульон мясной</t>
  </si>
  <si>
    <t>суп картофельный с горохом</t>
  </si>
  <si>
    <t>суп крестьянский со сметаной</t>
  </si>
  <si>
    <t>Выход: 200</t>
  </si>
  <si>
    <t>суп с макаронными изделиями</t>
  </si>
  <si>
    <t xml:space="preserve">Суп картофельный с горохом </t>
  </si>
  <si>
    <t>Котлеты, биточки, шницели рубленые</t>
  </si>
  <si>
    <t>или Свинина мясная</t>
  </si>
  <si>
    <t>или Телятина 1 кат.</t>
  </si>
  <si>
    <t>~ Мясо - котлетное</t>
  </si>
  <si>
    <t>Хлеб пшеничный, формовой из муки 1 сорта</t>
  </si>
  <si>
    <t>Молоко стерилизованное 3,5% жирности</t>
  </si>
  <si>
    <t>Сухари панировочные</t>
  </si>
  <si>
    <t>Говядина, тазобедренная часть (боковой кусок)</t>
  </si>
  <si>
    <t>81,.25</t>
  </si>
  <si>
    <t>или Говядина, тазобедренная часть(наружный кусок)</t>
  </si>
  <si>
    <t>или Свинина, лопаточная часть</t>
  </si>
  <si>
    <t>или Свинина, шейная часть (мякоть)</t>
  </si>
  <si>
    <t>~ Масса тушеного мяса</t>
  </si>
  <si>
    <t>~ Масса готовых овощей</t>
  </si>
  <si>
    <t xml:space="preserve">гуляш </t>
  </si>
  <si>
    <t>Говядина, лопаточная часть (заплечная)</t>
  </si>
  <si>
    <t>или Говядина, лопаточная часть (плечевая)</t>
  </si>
  <si>
    <t>или Говядина, подлопаточная часть</t>
  </si>
  <si>
    <t>или Говядина, грудинка (мякоть)</t>
  </si>
  <si>
    <t>или Говядина, покромка</t>
  </si>
  <si>
    <t>~ Масса соуса</t>
  </si>
  <si>
    <t>свинина 398 руб.</t>
  </si>
  <si>
    <t>Брутто, г</t>
  </si>
  <si>
    <t>Нетто, г</t>
  </si>
  <si>
    <t>Яйцо С-1 (столовое)</t>
  </si>
  <si>
    <t>Яблоки</t>
  </si>
  <si>
    <t>средняя стоимость</t>
  </si>
  <si>
    <t>выход порции</t>
  </si>
  <si>
    <t>цена за кг</t>
  </si>
  <si>
    <t>1 день</t>
  </si>
  <si>
    <t>завтрак</t>
  </si>
  <si>
    <t>яблоко</t>
  </si>
  <si>
    <t>пн</t>
  </si>
  <si>
    <t>сыр твердый</t>
  </si>
  <si>
    <t>каша геркулесовая</t>
  </si>
  <si>
    <t>Крупа овсяная "Геркулес"</t>
  </si>
  <si>
    <t>2 день</t>
  </si>
  <si>
    <t>вт</t>
  </si>
  <si>
    <t>огурец свежий</t>
  </si>
  <si>
    <t>Котлеты, биточки, шницели (2 вариант)</t>
  </si>
  <si>
    <t>Говядина (котлетное мясо)</t>
  </si>
  <si>
    <t>~ Масло растительное для запекания</t>
  </si>
  <si>
    <t>~ Масса готового блюда</t>
  </si>
  <si>
    <t>~ Соус томатный:</t>
  </si>
  <si>
    <t>Томат-паста</t>
  </si>
  <si>
    <t xml:space="preserve">Кофейный напиток на молоке </t>
  </si>
  <si>
    <t>Кофейный напиток растворимый</t>
  </si>
  <si>
    <t xml:space="preserve">Молоко </t>
  </si>
  <si>
    <t>3 день</t>
  </si>
  <si>
    <t>ср</t>
  </si>
  <si>
    <t>Салат из моркови с яблоками.</t>
  </si>
  <si>
    <t>Яблоки свежие</t>
  </si>
  <si>
    <t>Джем фруктовый с кусочками фруктов</t>
  </si>
  <si>
    <t>повидло</t>
  </si>
  <si>
    <t>Запеканка из творога</t>
  </si>
  <si>
    <t>батон пшеничный</t>
  </si>
  <si>
    <t>4 день</t>
  </si>
  <si>
    <t>груша</t>
  </si>
  <si>
    <t>чт</t>
  </si>
  <si>
    <t>ГУЛЯШ ИЗ КУРИНОГО ФИЛЕ.</t>
  </si>
  <si>
    <t>Куриное филе (грудка)</t>
  </si>
  <si>
    <t>Томат паста</t>
  </si>
  <si>
    <t>Соль</t>
  </si>
  <si>
    <t>Макароны отварные с маслом сливочным</t>
  </si>
  <si>
    <t>200/4</t>
  </si>
  <si>
    <t>5 день</t>
  </si>
  <si>
    <t>пт</t>
  </si>
  <si>
    <t>Яблоко свежее</t>
  </si>
  <si>
    <t>6 день</t>
  </si>
  <si>
    <t>Апельсин свежий</t>
  </si>
  <si>
    <t>Апельсин</t>
  </si>
  <si>
    <t>Сыр твердо-мягкий порционно</t>
  </si>
  <si>
    <t>Сыр твердо-мягкий с м.д.ж. 45%</t>
  </si>
  <si>
    <t>Каша гречневая молочная с маслом</t>
  </si>
  <si>
    <t>,</t>
  </si>
  <si>
    <t>Салат из моркови</t>
  </si>
  <si>
    <t>морковь</t>
  </si>
  <si>
    <t>сахарный песок</t>
  </si>
  <si>
    <t>растительное масло</t>
  </si>
  <si>
    <t>Фрикадельки из говядины, тушеные в соусе</t>
  </si>
  <si>
    <t>Соус молочный для запекания № 434</t>
  </si>
  <si>
    <t>Каша "Дружба" с маслом сливочным</t>
  </si>
  <si>
    <t>Крупа пшено</t>
  </si>
  <si>
    <t>Запеканка творожно-рисовая с маслом сливочным</t>
  </si>
  <si>
    <t>Творог 5%</t>
  </si>
  <si>
    <t>Тефтели из говядины</t>
  </si>
  <si>
    <t>~ Пассерованный лук</t>
  </si>
  <si>
    <t>~ Масса готовых тефтелей</t>
  </si>
  <si>
    <t>~ Соус томатный</t>
  </si>
  <si>
    <t>7 день</t>
  </si>
  <si>
    <t>8 день</t>
  </si>
  <si>
    <t>9 день</t>
  </si>
  <si>
    <t>10 день</t>
  </si>
  <si>
    <t>ОБЕД 1-4 классы</t>
  </si>
  <si>
    <t>ОБЕД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</si>
</sst>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&quot; порц&quot;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0"/>
      <color rgb="FF3E3E3E"/>
      <name val="Arial"/>
      <family val="2"/>
      <charset val="204"/>
    </font>
    <font>
      <sz val="11"/>
      <color rgb="FFFF0000"/>
      <name val="Calibri"/>
      <family val="2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i/>
      <sz val="8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5"/>
      <color rgb="FF000000"/>
      <name val="Arial Unicode MS"/>
      <family val="2"/>
      <charset val="204"/>
    </font>
    <font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1" fillId="0" borderId="0"/>
  </cellStyleXfs>
  <cellXfs count="356">
    <xf numFmtId="0" fontId="0" fillId="0" borderId="0" xfId="0"/>
    <xf numFmtId="0" fontId="4" fillId="0" borderId="1" xfId="0" applyFont="1" applyFill="1" applyBorder="1" applyAlignment="1">
      <alignment horizontal="left" vertical="top"/>
    </xf>
    <xf numFmtId="0" fontId="5" fillId="0" borderId="1" xfId="0" applyNumberFormat="1" applyFont="1" applyFill="1" applyBorder="1" applyAlignment="1" applyProtection="1">
      <alignment horizontal="left" vertical="top" wrapText="1"/>
    </xf>
    <xf numFmtId="0" fontId="5" fillId="0" borderId="1" xfId="0" applyNumberFormat="1" applyFont="1" applyFill="1" applyBorder="1" applyAlignment="1" applyProtection="1">
      <alignment horizontal="left" vertical="top"/>
    </xf>
    <xf numFmtId="0" fontId="7" fillId="0" borderId="0" xfId="0" applyFont="1"/>
    <xf numFmtId="0" fontId="7" fillId="0" borderId="1" xfId="0" applyFont="1" applyBorder="1"/>
    <xf numFmtId="2" fontId="5" fillId="0" borderId="1" xfId="0" applyNumberFormat="1" applyFont="1" applyFill="1" applyBorder="1" applyAlignment="1" applyProtection="1">
      <alignment horizontal="left" vertical="top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" xfId="0" applyFont="1" applyBorder="1"/>
    <xf numFmtId="0" fontId="0" fillId="0" borderId="1" xfId="0" applyFont="1" applyBorder="1" applyAlignment="1"/>
    <xf numFmtId="0" fontId="0" fillId="0" borderId="1" xfId="0" applyNumberFormat="1" applyFont="1" applyBorder="1" applyAlignment="1"/>
    <xf numFmtId="0" fontId="7" fillId="3" borderId="1" xfId="0" applyFont="1" applyFill="1" applyBorder="1"/>
    <xf numFmtId="0" fontId="7" fillId="3" borderId="0" xfId="0" applyFont="1" applyFill="1"/>
    <xf numFmtId="0" fontId="8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4" fillId="0" borderId="1" xfId="0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right" vertical="top"/>
    </xf>
    <xf numFmtId="0" fontId="7" fillId="0" borderId="0" xfId="0" applyFont="1" applyAlignment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4" fillId="0" borderId="0" xfId="0" applyFont="1" applyAlignment="1">
      <alignment vertical="top"/>
    </xf>
    <xf numFmtId="0" fontId="7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14" fillId="0" borderId="1" xfId="0" applyNumberFormat="1" applyFont="1" applyFill="1" applyBorder="1" applyAlignment="1" applyProtection="1">
      <alignment horizontal="left" vertical="top"/>
    </xf>
    <xf numFmtId="2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Font="1" applyFill="1" applyBorder="1" applyAlignment="1">
      <alignment horizontal="left" vertical="top"/>
    </xf>
    <xf numFmtId="2" fontId="14" fillId="0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Fill="1" applyBorder="1" applyAlignment="1" applyProtection="1">
      <alignment horizontal="left" vertical="top"/>
    </xf>
    <xf numFmtId="1" fontId="5" fillId="0" borderId="1" xfId="0" applyNumberFormat="1" applyFont="1" applyFill="1" applyBorder="1" applyAlignment="1" applyProtection="1">
      <alignment horizontal="left" vertical="top"/>
    </xf>
    <xf numFmtId="49" fontId="5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1" fontId="14" fillId="0" borderId="1" xfId="0" applyNumberFormat="1" applyFon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/>
    </xf>
    <xf numFmtId="164" fontId="10" fillId="0" borderId="1" xfId="0" applyNumberFormat="1" applyFont="1" applyFill="1" applyBorder="1" applyAlignment="1" applyProtection="1">
      <alignment horizontal="left" vertical="top"/>
    </xf>
    <xf numFmtId="1" fontId="10" fillId="0" borderId="1" xfId="0" applyNumberFormat="1" applyFont="1" applyFill="1" applyBorder="1" applyAlignment="1" applyProtection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2" fontId="7" fillId="0" borderId="1" xfId="0" applyNumberFormat="1" applyFont="1" applyBorder="1"/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/>
    <xf numFmtId="0" fontId="8" fillId="0" borderId="1" xfId="0" applyFont="1" applyBorder="1"/>
    <xf numFmtId="2" fontId="8" fillId="0" borderId="1" xfId="0" applyNumberFormat="1" applyFont="1" applyBorder="1"/>
    <xf numFmtId="2" fontId="8" fillId="0" borderId="7" xfId="0" applyNumberFormat="1" applyFont="1" applyBorder="1"/>
    <xf numFmtId="2" fontId="8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6" xfId="0" applyFont="1" applyBorder="1"/>
    <xf numFmtId="0" fontId="3" fillId="0" borderId="1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3" borderId="7" xfId="0" applyFont="1" applyFill="1" applyBorder="1"/>
    <xf numFmtId="0" fontId="7" fillId="3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16" fillId="0" borderId="1" xfId="0" applyFont="1" applyBorder="1"/>
    <xf numFmtId="0" fontId="7" fillId="0" borderId="1" xfId="0" applyFont="1" applyBorder="1" applyAlignment="1">
      <alignment vertical="top" wrapText="1"/>
    </xf>
    <xf numFmtId="0" fontId="0" fillId="0" borderId="2" xfId="0" applyBorder="1"/>
    <xf numFmtId="0" fontId="0" fillId="0" borderId="7" xfId="0" applyBorder="1"/>
    <xf numFmtId="0" fontId="0" fillId="0" borderId="4" xfId="0" applyBorder="1"/>
    <xf numFmtId="0" fontId="0" fillId="0" borderId="6" xfId="0" applyBorder="1"/>
    <xf numFmtId="0" fontId="4" fillId="0" borderId="0" xfId="0" applyFont="1"/>
    <xf numFmtId="0" fontId="0" fillId="0" borderId="5" xfId="0" applyBorder="1"/>
    <xf numFmtId="0" fontId="0" fillId="0" borderId="8" xfId="0" applyFont="1" applyBorder="1" applyAlignment="1"/>
    <xf numFmtId="0" fontId="0" fillId="0" borderId="1" xfId="0" applyNumberFormat="1" applyFont="1" applyBorder="1" applyAlignment="1">
      <alignment horizontal="left"/>
    </xf>
    <xf numFmtId="0" fontId="0" fillId="0" borderId="10" xfId="0" applyFont="1" applyBorder="1" applyAlignment="1"/>
    <xf numFmtId="0" fontId="0" fillId="0" borderId="9" xfId="0" applyFont="1" applyBorder="1" applyAlignment="1"/>
    <xf numFmtId="0" fontId="0" fillId="0" borderId="2" xfId="0" applyNumberFormat="1" applyFont="1" applyBorder="1" applyAlignment="1"/>
    <xf numFmtId="164" fontId="0" fillId="0" borderId="10" xfId="0" applyNumberFormat="1" applyFont="1" applyBorder="1" applyAlignment="1"/>
    <xf numFmtId="164" fontId="0" fillId="0" borderId="8" xfId="0" applyNumberFormat="1" applyFont="1" applyBorder="1" applyAlignment="1"/>
    <xf numFmtId="164" fontId="0" fillId="0" borderId="9" xfId="0" applyNumberFormat="1" applyFont="1" applyBorder="1" applyAlignment="1"/>
    <xf numFmtId="1" fontId="0" fillId="0" borderId="2" xfId="0" applyNumberFormat="1" applyFont="1" applyBorder="1" applyAlignment="1"/>
    <xf numFmtId="164" fontId="0" fillId="0" borderId="1" xfId="0" applyNumberFormat="1" applyFont="1" applyBorder="1" applyAlignment="1"/>
    <xf numFmtId="164" fontId="0" fillId="0" borderId="8" xfId="0" applyNumberFormat="1" applyBorder="1" applyAlignment="1"/>
    <xf numFmtId="164" fontId="0" fillId="0" borderId="1" xfId="0" applyNumberFormat="1" applyBorder="1" applyAlignment="1"/>
    <xf numFmtId="0" fontId="16" fillId="0" borderId="1" xfId="0" applyNumberFormat="1" applyFont="1" applyBorder="1" applyAlignment="1"/>
    <xf numFmtId="1" fontId="16" fillId="0" borderId="1" xfId="0" applyNumberFormat="1" applyFont="1" applyBorder="1" applyAlignment="1"/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1" xfId="0" applyFont="1" applyBorder="1"/>
    <xf numFmtId="2" fontId="0" fillId="0" borderId="9" xfId="0" applyNumberFormat="1" applyFont="1" applyBorder="1" applyAlignment="1"/>
    <xf numFmtId="2" fontId="0" fillId="0" borderId="1" xfId="0" applyNumberFormat="1" applyFont="1" applyBorder="1" applyAlignment="1"/>
    <xf numFmtId="17" fontId="4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vertical="center"/>
    </xf>
    <xf numFmtId="2" fontId="16" fillId="0" borderId="1" xfId="0" applyNumberFormat="1" applyFont="1" applyBorder="1"/>
    <xf numFmtId="0" fontId="22" fillId="0" borderId="1" xfId="0" applyNumberFormat="1" applyFont="1" applyBorder="1" applyAlignment="1">
      <alignment horizontal="left" vertical="center"/>
    </xf>
    <xf numFmtId="0" fontId="0" fillId="3" borderId="1" xfId="0" applyFill="1" applyBorder="1"/>
    <xf numFmtId="0" fontId="0" fillId="3" borderId="0" xfId="0" applyFill="1"/>
    <xf numFmtId="2" fontId="16" fillId="3" borderId="1" xfId="0" applyNumberFormat="1" applyFont="1" applyFill="1" applyBorder="1"/>
    <xf numFmtId="0" fontId="0" fillId="3" borderId="4" xfId="0" applyFill="1" applyBorder="1"/>
    <xf numFmtId="0" fontId="24" fillId="0" borderId="8" xfId="0" applyFont="1" applyBorder="1" applyAlignment="1"/>
    <xf numFmtId="0" fontId="18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4" fillId="0" borderId="1" xfId="0" applyNumberFormat="1" applyFont="1" applyBorder="1"/>
    <xf numFmtId="49" fontId="4" fillId="0" borderId="7" xfId="0" applyNumberFormat="1" applyFont="1" applyBorder="1"/>
    <xf numFmtId="2" fontId="5" fillId="0" borderId="6" xfId="0" applyNumberFormat="1" applyFont="1" applyFill="1" applyBorder="1" applyAlignment="1" applyProtection="1">
      <alignment horizontal="left" vertical="top"/>
    </xf>
    <xf numFmtId="0" fontId="4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5" fillId="4" borderId="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2" fontId="0" fillId="0" borderId="1" xfId="0" applyNumberFormat="1" applyBorder="1"/>
    <xf numFmtId="164" fontId="0" fillId="5" borderId="1" xfId="0" applyNumberFormat="1" applyFill="1" applyBorder="1"/>
    <xf numFmtId="164" fontId="0" fillId="6" borderId="1" xfId="0" applyNumberFormat="1" applyFill="1" applyBorder="1"/>
    <xf numFmtId="0" fontId="27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0" fontId="0" fillId="0" borderId="0" xfId="0" applyBorder="1"/>
    <xf numFmtId="0" fontId="0" fillId="0" borderId="12" xfId="0" applyBorder="1"/>
    <xf numFmtId="0" fontId="4" fillId="0" borderId="4" xfId="0" applyFont="1" applyBorder="1" applyAlignment="1">
      <alignment vertical="center" wrapText="1"/>
    </xf>
    <xf numFmtId="0" fontId="0" fillId="0" borderId="13" xfId="0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6" fillId="0" borderId="0" xfId="0" applyFont="1" applyBorder="1"/>
    <xf numFmtId="0" fontId="3" fillId="0" borderId="6" xfId="0" applyFont="1" applyBorder="1" applyAlignment="1">
      <alignment vertical="center" wrapText="1"/>
    </xf>
    <xf numFmtId="0" fontId="0" fillId="0" borderId="4" xfId="0" applyNumberFormat="1" applyFont="1" applyBorder="1" applyAlignment="1"/>
    <xf numFmtId="1" fontId="0" fillId="0" borderId="4" xfId="0" applyNumberFormat="1" applyFont="1" applyBorder="1" applyAlignment="1"/>
    <xf numFmtId="0" fontId="1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left" vertical="top" wrapText="1"/>
    </xf>
    <xf numFmtId="0" fontId="28" fillId="0" borderId="0" xfId="0" applyNumberFormat="1" applyFont="1" applyFill="1" applyBorder="1" applyAlignment="1" applyProtection="1">
      <alignment vertical="top"/>
    </xf>
    <xf numFmtId="0" fontId="28" fillId="0" borderId="0" xfId="0" applyNumberFormat="1" applyFont="1" applyFill="1" applyBorder="1" applyAlignment="1" applyProtection="1">
      <alignment horizontal="left" vertical="top"/>
    </xf>
    <xf numFmtId="0" fontId="14" fillId="0" borderId="0" xfId="0" applyNumberFormat="1" applyFont="1" applyFill="1" applyBorder="1" applyAlignment="1" applyProtection="1">
      <alignment horizontal="left" vertical="top"/>
    </xf>
    <xf numFmtId="0" fontId="9" fillId="0" borderId="0" xfId="0" applyFont="1" applyFill="1"/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right" vertical="top"/>
    </xf>
    <xf numFmtId="0" fontId="9" fillId="0" borderId="0" xfId="0" applyFont="1" applyFill="1" applyAlignment="1">
      <alignment vertical="top"/>
    </xf>
    <xf numFmtId="0" fontId="29" fillId="0" borderId="0" xfId="0" applyNumberFormat="1" applyFont="1" applyFill="1" applyBorder="1" applyAlignment="1" applyProtection="1">
      <alignment vertical="center"/>
    </xf>
    <xf numFmtId="0" fontId="30" fillId="0" borderId="0" xfId="0" applyNumberFormat="1" applyFont="1" applyFill="1" applyBorder="1" applyAlignment="1" applyProtection="1">
      <alignment vertical="center"/>
    </xf>
    <xf numFmtId="0" fontId="31" fillId="0" borderId="0" xfId="0" applyNumberFormat="1" applyFont="1" applyFill="1" applyBorder="1" applyAlignment="1" applyProtection="1">
      <alignment vertical="top"/>
    </xf>
    <xf numFmtId="0" fontId="31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/>
    <xf numFmtId="0" fontId="14" fillId="0" borderId="0" xfId="0" applyFont="1" applyFill="1" applyAlignment="1">
      <alignment vertical="top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vertical="top"/>
    </xf>
    <xf numFmtId="0" fontId="28" fillId="0" borderId="3" xfId="0" applyFont="1" applyFill="1" applyBorder="1" applyAlignment="1">
      <alignment vertical="top"/>
    </xf>
    <xf numFmtId="0" fontId="28" fillId="0" borderId="7" xfId="0" applyFont="1" applyFill="1" applyBorder="1" applyAlignment="1">
      <alignment vertical="top"/>
    </xf>
    <xf numFmtId="0" fontId="14" fillId="0" borderId="1" xfId="0" applyFont="1" applyFill="1" applyBorder="1" applyAlignment="1">
      <alignment vertical="top"/>
    </xf>
    <xf numFmtId="0" fontId="14" fillId="0" borderId="2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center" wrapText="1"/>
    </xf>
    <xf numFmtId="49" fontId="14" fillId="0" borderId="7" xfId="0" applyNumberFormat="1" applyFont="1" applyFill="1" applyBorder="1"/>
    <xf numFmtId="2" fontId="14" fillId="0" borderId="6" xfId="0" applyNumberFormat="1" applyFont="1" applyFill="1" applyBorder="1" applyAlignment="1" applyProtection="1">
      <alignment horizontal="left" vertical="top"/>
    </xf>
    <xf numFmtId="0" fontId="14" fillId="0" borderId="1" xfId="0" applyFont="1" applyFill="1" applyBorder="1"/>
    <xf numFmtId="0" fontId="14" fillId="0" borderId="1" xfId="0" applyNumberFormat="1" applyFont="1" applyFill="1" applyBorder="1" applyAlignment="1" applyProtection="1">
      <alignment horizontal="left" vertical="top" wrapText="1"/>
    </xf>
    <xf numFmtId="49" fontId="14" fillId="0" borderId="1" xfId="0" applyNumberFormat="1" applyFont="1" applyFill="1" applyBorder="1"/>
    <xf numFmtId="0" fontId="28" fillId="0" borderId="1" xfId="0" applyFont="1" applyFill="1" applyBorder="1" applyAlignment="1">
      <alignment horizontal="left" vertical="top"/>
    </xf>
    <xf numFmtId="49" fontId="14" fillId="0" borderId="1" xfId="0" applyNumberFormat="1" applyFont="1" applyFill="1" applyBorder="1" applyAlignment="1">
      <alignment horizontal="left" vertical="top"/>
    </xf>
    <xf numFmtId="0" fontId="14" fillId="0" borderId="1" xfId="0" applyNumberFormat="1" applyFont="1" applyFill="1" applyBorder="1" applyAlignment="1" applyProtection="1">
      <alignment vertical="top" wrapText="1"/>
    </xf>
    <xf numFmtId="49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/>
    </xf>
    <xf numFmtId="0" fontId="14" fillId="0" borderId="1" xfId="0" applyNumberFormat="1" applyFont="1" applyFill="1" applyBorder="1" applyAlignment="1" applyProtection="1">
      <alignment vertical="top"/>
    </xf>
    <xf numFmtId="164" fontId="14" fillId="0" borderId="1" xfId="0" applyNumberFormat="1" applyFont="1" applyFill="1" applyBorder="1" applyAlignment="1" applyProtection="1">
      <alignment horizontal="left" vertical="top"/>
    </xf>
    <xf numFmtId="1" fontId="14" fillId="0" borderId="1" xfId="0" applyNumberFormat="1" applyFont="1" applyFill="1" applyBorder="1" applyAlignment="1" applyProtection="1">
      <alignment horizontal="left" vertical="top"/>
    </xf>
    <xf numFmtId="1" fontId="28" fillId="0" borderId="1" xfId="0" applyNumberFormat="1" applyFont="1" applyFill="1" applyBorder="1" applyAlignment="1">
      <alignment horizontal="left" vertical="top"/>
    </xf>
    <xf numFmtId="164" fontId="28" fillId="0" borderId="1" xfId="0" applyNumberFormat="1" applyFont="1" applyFill="1" applyBorder="1" applyAlignment="1" applyProtection="1">
      <alignment horizontal="left" vertical="top"/>
    </xf>
    <xf numFmtId="1" fontId="28" fillId="0" borderId="1" xfId="0" applyNumberFormat="1" applyFont="1" applyFill="1" applyBorder="1" applyAlignment="1" applyProtection="1">
      <alignment horizontal="left" vertical="top"/>
    </xf>
    <xf numFmtId="0" fontId="32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7" fillId="7" borderId="1" xfId="0" applyNumberFormat="1" applyFont="1" applyFill="1" applyBorder="1"/>
    <xf numFmtId="0" fontId="28" fillId="0" borderId="1" xfId="0" applyFont="1" applyFill="1" applyBorder="1" applyAlignment="1">
      <alignment horizontal="left" vertical="top"/>
    </xf>
    <xf numFmtId="0" fontId="28" fillId="0" borderId="2" xfId="0" applyFont="1" applyFill="1" applyBorder="1" applyAlignment="1">
      <alignment horizontal="left" vertical="top"/>
    </xf>
    <xf numFmtId="0" fontId="28" fillId="0" borderId="7" xfId="0" applyFont="1" applyFill="1" applyBorder="1" applyAlignment="1">
      <alignment horizontal="left" vertical="top"/>
    </xf>
    <xf numFmtId="0" fontId="10" fillId="0" borderId="2" xfId="0" applyNumberFormat="1" applyFont="1" applyFill="1" applyBorder="1" applyAlignment="1" applyProtection="1">
      <alignment horizontal="left" vertical="top" wrapText="1"/>
    </xf>
    <xf numFmtId="0" fontId="10" fillId="0" borderId="3" xfId="0" applyNumberFormat="1" applyFont="1" applyFill="1" applyBorder="1" applyAlignment="1" applyProtection="1">
      <alignment horizontal="left" vertical="top" wrapText="1"/>
    </xf>
    <xf numFmtId="0" fontId="10" fillId="0" borderId="7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top" wrapText="1"/>
    </xf>
    <xf numFmtId="0" fontId="14" fillId="0" borderId="4" xfId="0" applyFont="1" applyFill="1" applyBorder="1" applyAlignment="1">
      <alignment horizontal="left" vertical="top"/>
    </xf>
    <xf numFmtId="0" fontId="14" fillId="0" borderId="5" xfId="0" applyFont="1" applyFill="1" applyBorder="1" applyAlignment="1">
      <alignment horizontal="left" vertical="top"/>
    </xf>
    <xf numFmtId="0" fontId="14" fillId="0" borderId="6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top"/>
    </xf>
    <xf numFmtId="0" fontId="28" fillId="0" borderId="4" xfId="0" applyFont="1" applyFill="1" applyBorder="1" applyAlignment="1">
      <alignment horizontal="left" vertical="top"/>
    </xf>
    <xf numFmtId="0" fontId="28" fillId="0" borderId="5" xfId="0" applyFont="1" applyFill="1" applyBorder="1" applyAlignment="1">
      <alignment horizontal="left" vertical="top"/>
    </xf>
    <xf numFmtId="0" fontId="28" fillId="0" borderId="6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2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29" fillId="0" borderId="0" xfId="0" applyNumberFormat="1" applyFont="1" applyFill="1" applyBorder="1" applyAlignment="1" applyProtection="1">
      <alignment horizontal="center" vertical="top"/>
    </xf>
    <xf numFmtId="0" fontId="30" fillId="0" borderId="0" xfId="0" applyNumberFormat="1" applyFont="1" applyFill="1" applyBorder="1" applyAlignment="1" applyProtection="1">
      <alignment horizontal="center" vertical="top"/>
    </xf>
    <xf numFmtId="0" fontId="28" fillId="0" borderId="2" xfId="0" applyNumberFormat="1" applyFont="1" applyFill="1" applyBorder="1" applyAlignment="1" applyProtection="1">
      <alignment horizontal="left" vertical="top" wrapText="1"/>
    </xf>
    <xf numFmtId="0" fontId="28" fillId="0" borderId="3" xfId="0" applyNumberFormat="1" applyFont="1" applyFill="1" applyBorder="1" applyAlignment="1" applyProtection="1">
      <alignment horizontal="left" vertical="top" wrapText="1"/>
    </xf>
    <xf numFmtId="0" fontId="28" fillId="0" borderId="7" xfId="0" applyNumberFormat="1" applyFont="1" applyFill="1" applyBorder="1" applyAlignment="1" applyProtection="1">
      <alignment horizontal="left" vertical="top" wrapText="1"/>
    </xf>
    <xf numFmtId="0" fontId="28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6" fillId="5" borderId="4" xfId="0" applyFont="1" applyFill="1" applyBorder="1" applyAlignment="1">
      <alignment horizontal="center" vertical="center" wrapText="1"/>
    </xf>
    <xf numFmtId="0" fontId="26" fillId="5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2" fontId="15" fillId="0" borderId="1" xfId="0" applyNumberFormat="1" applyFont="1" applyBorder="1"/>
    <xf numFmtId="0" fontId="33" fillId="0" borderId="0" xfId="0" applyFont="1"/>
    <xf numFmtId="2" fontId="34" fillId="0" borderId="0" xfId="0" applyNumberFormat="1" applyFont="1"/>
    <xf numFmtId="2" fontId="4" fillId="0" borderId="0" xfId="0" applyNumberFormat="1" applyFont="1"/>
    <xf numFmtId="165" fontId="37" fillId="0" borderId="1" xfId="0" applyNumberFormat="1" applyFont="1" applyBorder="1" applyAlignment="1">
      <alignment horizontal="center" vertical="center"/>
    </xf>
    <xf numFmtId="0" fontId="37" fillId="0" borderId="1" xfId="0" applyNumberFormat="1" applyFont="1" applyBorder="1" applyAlignment="1">
      <alignment horizontal="center" vertical="center"/>
    </xf>
    <xf numFmtId="0" fontId="37" fillId="0" borderId="1" xfId="0" applyNumberFormat="1" applyFont="1" applyBorder="1" applyAlignment="1">
      <alignment horizontal="left"/>
    </xf>
    <xf numFmtId="0" fontId="37" fillId="0" borderId="1" xfId="0" applyNumberFormat="1" applyFont="1" applyBorder="1" applyAlignment="1">
      <alignment horizontal="center"/>
    </xf>
    <xf numFmtId="1" fontId="37" fillId="0" borderId="1" xfId="0" applyNumberFormat="1" applyFont="1" applyBorder="1" applyAlignment="1">
      <alignment horizontal="center"/>
    </xf>
    <xf numFmtId="0" fontId="4" fillId="0" borderId="14" xfId="0" applyFont="1" applyBorder="1"/>
    <xf numFmtId="0" fontId="4" fillId="0" borderId="0" xfId="0" applyFont="1" applyBorder="1"/>
    <xf numFmtId="165" fontId="37" fillId="0" borderId="1" xfId="0" applyNumberFormat="1" applyFont="1" applyBorder="1" applyAlignment="1">
      <alignment horizontal="center" vertical="center"/>
    </xf>
    <xf numFmtId="0" fontId="37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/>
    <xf numFmtId="0" fontId="19" fillId="0" borderId="1" xfId="0" applyNumberFormat="1" applyFont="1" applyBorder="1" applyAlignment="1">
      <alignment horizontal="left"/>
    </xf>
    <xf numFmtId="0" fontId="19" fillId="0" borderId="1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41" fillId="0" borderId="1" xfId="1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/>
    </xf>
    <xf numFmtId="0" fontId="35" fillId="8" borderId="1" xfId="0" applyFont="1" applyFill="1" applyBorder="1" applyAlignment="1">
      <alignment horizontal="center" vertical="top" wrapText="1"/>
    </xf>
    <xf numFmtId="2" fontId="35" fillId="8" borderId="1" xfId="0" applyNumberFormat="1" applyFont="1" applyFill="1" applyBorder="1" applyAlignment="1">
      <alignment horizontal="center" vertical="top" wrapText="1"/>
    </xf>
    <xf numFmtId="0" fontId="33" fillId="0" borderId="1" xfId="0" applyFont="1" applyBorder="1"/>
    <xf numFmtId="2" fontId="7" fillId="3" borderId="1" xfId="0" applyNumberFormat="1" applyFont="1" applyFill="1" applyBorder="1"/>
    <xf numFmtId="2" fontId="33" fillId="3" borderId="1" xfId="0" applyNumberFormat="1" applyFont="1" applyFill="1" applyBorder="1"/>
    <xf numFmtId="0" fontId="21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vertical="center"/>
    </xf>
    <xf numFmtId="0" fontId="0" fillId="0" borderId="1" xfId="0" applyFont="1" applyBorder="1"/>
    <xf numFmtId="0" fontId="33" fillId="0" borderId="1" xfId="0" applyFont="1" applyBorder="1" applyAlignment="1">
      <alignment vertical="top"/>
    </xf>
    <xf numFmtId="1" fontId="0" fillId="0" borderId="1" xfId="0" applyNumberFormat="1" applyFont="1" applyBorder="1" applyAlignment="1"/>
    <xf numFmtId="0" fontId="36" fillId="0" borderId="1" xfId="0" applyNumberFormat="1" applyFont="1" applyBorder="1" applyAlignment="1">
      <alignment horizontal="center" vertical="center"/>
    </xf>
    <xf numFmtId="0" fontId="36" fillId="0" borderId="1" xfId="0" applyNumberFormat="1" applyFont="1" applyBorder="1" applyAlignment="1">
      <alignment vertical="center"/>
    </xf>
    <xf numFmtId="0" fontId="37" fillId="0" borderId="1" xfId="0" applyFont="1" applyBorder="1"/>
    <xf numFmtId="2" fontId="37" fillId="0" borderId="1" xfId="0" applyNumberFormat="1" applyFont="1" applyBorder="1" applyAlignment="1"/>
    <xf numFmtId="2" fontId="37" fillId="0" borderId="1" xfId="0" applyNumberFormat="1" applyFont="1" applyBorder="1" applyAlignment="1">
      <alignment horizontal="center"/>
    </xf>
    <xf numFmtId="0" fontId="37" fillId="0" borderId="1" xfId="0" applyFont="1" applyBorder="1" applyAlignment="1">
      <alignment horizontal="left"/>
    </xf>
    <xf numFmtId="0" fontId="4" fillId="0" borderId="1" xfId="0" applyFont="1" applyFill="1" applyBorder="1"/>
    <xf numFmtId="2" fontId="33" fillId="9" borderId="1" xfId="0" applyNumberFormat="1" applyFont="1" applyFill="1" applyBorder="1"/>
    <xf numFmtId="0" fontId="38" fillId="0" borderId="1" xfId="0" applyFont="1" applyBorder="1"/>
    <xf numFmtId="0" fontId="14" fillId="0" borderId="1" xfId="0" applyFont="1" applyBorder="1"/>
    <xf numFmtId="0" fontId="9" fillId="0" borderId="1" xfId="0" applyFont="1" applyBorder="1"/>
    <xf numFmtId="2" fontId="34" fillId="0" borderId="1" xfId="0" applyNumberFormat="1" applyFont="1" applyBorder="1"/>
    <xf numFmtId="0" fontId="4" fillId="0" borderId="1" xfId="0" applyFont="1" applyBorder="1" applyAlignment="1">
      <alignment vertical="center"/>
    </xf>
    <xf numFmtId="0" fontId="4" fillId="1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64" fontId="0" fillId="0" borderId="1" xfId="0" applyNumberFormat="1" applyFont="1" applyBorder="1" applyAlignment="1">
      <alignment horizontal="center"/>
    </xf>
    <xf numFmtId="164" fontId="0" fillId="3" borderId="1" xfId="0" applyNumberFormat="1" applyFont="1" applyFill="1" applyBorder="1" applyAlignment="1"/>
    <xf numFmtId="2" fontId="33" fillId="6" borderId="1" xfId="0" applyNumberFormat="1" applyFont="1" applyFill="1" applyBorder="1"/>
    <xf numFmtId="0" fontId="27" fillId="0" borderId="1" xfId="0" applyFont="1" applyBorder="1"/>
    <xf numFmtId="0" fontId="33" fillId="0" borderId="1" xfId="0" applyFont="1" applyFill="1" applyBorder="1"/>
    <xf numFmtId="164" fontId="19" fillId="0" borderId="1" xfId="0" applyNumberFormat="1" applyFont="1" applyBorder="1" applyAlignment="1">
      <alignment horizontal="center"/>
    </xf>
    <xf numFmtId="0" fontId="39" fillId="0" borderId="1" xfId="0" applyFont="1" applyFill="1" applyBorder="1"/>
    <xf numFmtId="0" fontId="40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4" fillId="0" borderId="1" xfId="0" applyFont="1" applyBorder="1"/>
    <xf numFmtId="0" fontId="39" fillId="0" borderId="1" xfId="0" applyFont="1" applyBorder="1"/>
    <xf numFmtId="2" fontId="33" fillId="14" borderId="1" xfId="0" applyNumberFormat="1" applyFont="1" applyFill="1" applyBorder="1"/>
    <xf numFmtId="0" fontId="41" fillId="0" borderId="1" xfId="1" applyFont="1" applyFill="1" applyBorder="1" applyAlignment="1">
      <alignment horizontal="left"/>
    </xf>
    <xf numFmtId="164" fontId="41" fillId="0" borderId="1" xfId="1" applyNumberFormat="1" applyFont="1" applyFill="1" applyBorder="1" applyAlignment="1"/>
    <xf numFmtId="0" fontId="41" fillId="0" borderId="1" xfId="1" applyFill="1" applyBorder="1" applyAlignment="1">
      <alignment horizontal="center"/>
    </xf>
    <xf numFmtId="2" fontId="33" fillId="11" borderId="1" xfId="0" applyNumberFormat="1" applyFont="1" applyFill="1" applyBorder="1"/>
    <xf numFmtId="0" fontId="41" fillId="0" borderId="1" xfId="1" applyNumberFormat="1" applyFont="1" applyBorder="1" applyAlignment="1">
      <alignment horizontal="center" vertical="center"/>
    </xf>
    <xf numFmtId="0" fontId="41" fillId="0" borderId="1" xfId="1" applyFont="1" applyBorder="1" applyAlignment="1">
      <alignment horizontal="left"/>
    </xf>
    <xf numFmtId="164" fontId="41" fillId="0" borderId="1" xfId="1" applyNumberFormat="1" applyFont="1" applyBorder="1" applyAlignment="1">
      <alignment horizontal="center"/>
    </xf>
    <xf numFmtId="0" fontId="41" fillId="0" borderId="1" xfId="1" applyNumberFormat="1" applyFont="1" applyBorder="1" applyAlignment="1">
      <alignment horizontal="left"/>
    </xf>
    <xf numFmtId="0" fontId="41" fillId="0" borderId="1" xfId="1" applyNumberFormat="1" applyFont="1" applyBorder="1" applyAlignment="1">
      <alignment horizontal="center"/>
    </xf>
    <xf numFmtId="1" fontId="41" fillId="0" borderId="1" xfId="1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33" fillId="15" borderId="1" xfId="0" applyNumberFormat="1" applyFont="1" applyFill="1" applyBorder="1"/>
    <xf numFmtId="2" fontId="33" fillId="0" borderId="1" xfId="0" applyNumberFormat="1" applyFont="1" applyBorder="1"/>
    <xf numFmtId="2" fontId="7" fillId="15" borderId="1" xfId="0" applyNumberFormat="1" applyFont="1" applyFill="1" applyBorder="1"/>
    <xf numFmtId="164" fontId="41" fillId="0" borderId="1" xfId="1" applyNumberFormat="1" applyFont="1" applyFill="1" applyBorder="1" applyAlignment="1">
      <alignment horizontal="center"/>
    </xf>
    <xf numFmtId="0" fontId="4" fillId="0" borderId="4" xfId="0" applyFont="1" applyBorder="1"/>
    <xf numFmtId="0" fontId="33" fillId="0" borderId="4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3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2" fontId="3" fillId="0" borderId="0" xfId="0" applyNumberFormat="1" applyFont="1" applyAlignment="1">
      <alignment horizontal="center" vertical="top" wrapText="1"/>
    </xf>
    <xf numFmtId="0" fontId="8" fillId="0" borderId="0" xfId="0" applyFont="1"/>
    <xf numFmtId="2" fontId="4" fillId="0" borderId="1" xfId="0" applyNumberFormat="1" applyFont="1" applyBorder="1"/>
    <xf numFmtId="2" fontId="27" fillId="0" borderId="1" xfId="0" applyNumberFormat="1" applyFont="1" applyBorder="1"/>
    <xf numFmtId="2" fontId="33" fillId="12" borderId="1" xfId="0" applyNumberFormat="1" applyFont="1" applyFill="1" applyBorder="1"/>
    <xf numFmtId="2" fontId="33" fillId="13" borderId="1" xfId="0" applyNumberFormat="1" applyFont="1" applyFill="1" applyBorder="1"/>
    <xf numFmtId="2" fontId="4" fillId="0" borderId="4" xfId="0" applyNumberFormat="1" applyFont="1" applyBorder="1"/>
    <xf numFmtId="2" fontId="7" fillId="0" borderId="0" xfId="0" applyNumberFormat="1" applyFont="1" applyBorder="1"/>
    <xf numFmtId="2" fontId="7" fillId="0" borderId="0" xfId="0" applyNumberFormat="1" applyFont="1"/>
    <xf numFmtId="2" fontId="8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Fill="1" applyBorder="1"/>
    <xf numFmtId="2" fontId="9" fillId="9" borderId="1" xfId="0" applyNumberFormat="1" applyFont="1" applyFill="1" applyBorder="1"/>
    <xf numFmtId="2" fontId="7" fillId="9" borderId="1" xfId="0" applyNumberFormat="1" applyFont="1" applyFill="1" applyBorder="1"/>
    <xf numFmtId="2" fontId="7" fillId="6" borderId="1" xfId="0" applyNumberFormat="1" applyFont="1" applyFill="1" applyBorder="1"/>
    <xf numFmtId="2" fontId="7" fillId="11" borderId="1" xfId="0" applyNumberFormat="1" applyFont="1" applyFill="1" applyBorder="1"/>
    <xf numFmtId="2" fontId="7" fillId="8" borderId="1" xfId="0" applyNumberFormat="1" applyFont="1" applyFill="1" applyBorder="1"/>
    <xf numFmtId="2" fontId="39" fillId="0" borderId="1" xfId="0" applyNumberFormat="1" applyFont="1" applyBorder="1"/>
    <xf numFmtId="2" fontId="7" fillId="12" borderId="1" xfId="0" applyNumberFormat="1" applyFont="1" applyFill="1" applyBorder="1"/>
    <xf numFmtId="2" fontId="7" fillId="13" borderId="1" xfId="0" applyNumberFormat="1" applyFont="1" applyFill="1" applyBorder="1"/>
    <xf numFmtId="2" fontId="7" fillId="14" borderId="1" xfId="0" applyNumberFormat="1" applyFont="1" applyFill="1" applyBorder="1"/>
    <xf numFmtId="2" fontId="39" fillId="9" borderId="1" xfId="0" applyNumberFormat="1" applyFont="1" applyFill="1" applyBorder="1"/>
    <xf numFmtId="2" fontId="7" fillId="12" borderId="4" xfId="0" applyNumberFormat="1" applyFont="1" applyFill="1" applyBorder="1"/>
    <xf numFmtId="0" fontId="33" fillId="3" borderId="1" xfId="0" applyFont="1" applyFill="1" applyBorder="1"/>
    <xf numFmtId="0" fontId="4" fillId="3" borderId="1" xfId="0" applyFont="1" applyFill="1" applyBorder="1"/>
    <xf numFmtId="0" fontId="39" fillId="3" borderId="1" xfId="0" applyFont="1" applyFill="1" applyBorder="1"/>
    <xf numFmtId="0" fontId="34" fillId="3" borderId="1" xfId="0" applyFont="1" applyFill="1" applyBorder="1"/>
    <xf numFmtId="0" fontId="27" fillId="3" borderId="1" xfId="0" applyFont="1" applyFill="1" applyBorder="1"/>
    <xf numFmtId="0" fontId="19" fillId="3" borderId="1" xfId="0" applyNumberFormat="1" applyFont="1" applyFill="1" applyBorder="1" applyAlignment="1">
      <alignment horizontal="center" vertical="center"/>
    </xf>
    <xf numFmtId="2" fontId="39" fillId="3" borderId="1" xfId="0" applyNumberFormat="1" applyFont="1" applyFill="1" applyBorder="1"/>
    <xf numFmtId="164" fontId="0" fillId="0" borderId="2" xfId="0" applyNumberFormat="1" applyFont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0" fontId="9" fillId="3" borderId="1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7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bprog.ru/tk/pi-1653" TargetMode="External"/><Relationship Id="rId13" Type="http://schemas.openxmlformats.org/officeDocument/2006/relationships/hyperlink" Target="https://pbprog.ru/tk/pi-1653" TargetMode="External"/><Relationship Id="rId18" Type="http://schemas.openxmlformats.org/officeDocument/2006/relationships/hyperlink" Target="https://pbprog.ru/tk/pi-1647" TargetMode="External"/><Relationship Id="rId3" Type="http://schemas.openxmlformats.org/officeDocument/2006/relationships/hyperlink" Target="https://pbprog.ru/tk/pi-1647" TargetMode="External"/><Relationship Id="rId21" Type="http://schemas.openxmlformats.org/officeDocument/2006/relationships/hyperlink" Target="https://pbprog.ru/tk/pi-1647" TargetMode="External"/><Relationship Id="rId7" Type="http://schemas.openxmlformats.org/officeDocument/2006/relationships/hyperlink" Target="https://pbprog.ru/tk/pi-1183" TargetMode="External"/><Relationship Id="rId12" Type="http://schemas.openxmlformats.org/officeDocument/2006/relationships/hyperlink" Target="https://pbprog.ru/tk/pi-39" TargetMode="External"/><Relationship Id="rId17" Type="http://schemas.openxmlformats.org/officeDocument/2006/relationships/hyperlink" Target="https://pbprog.ru/tk/pi-1653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https://pbprog.ru/tk/pi-1183" TargetMode="External"/><Relationship Id="rId16" Type="http://schemas.openxmlformats.org/officeDocument/2006/relationships/hyperlink" Target="https://pbprog.ru/tk/pi-1183" TargetMode="External"/><Relationship Id="rId20" Type="http://schemas.openxmlformats.org/officeDocument/2006/relationships/hyperlink" Target="https://pbprog.ru/tk/pi-39" TargetMode="External"/><Relationship Id="rId1" Type="http://schemas.openxmlformats.org/officeDocument/2006/relationships/hyperlink" Target="https://pbprog.ru/tk/pi-1651" TargetMode="External"/><Relationship Id="rId6" Type="http://schemas.openxmlformats.org/officeDocument/2006/relationships/hyperlink" Target="https://pbprog.ru/tk/pi-39" TargetMode="External"/><Relationship Id="rId11" Type="http://schemas.openxmlformats.org/officeDocument/2006/relationships/hyperlink" Target="https://pbprog.ru/tk/pi-1183" TargetMode="External"/><Relationship Id="rId24" Type="http://schemas.openxmlformats.org/officeDocument/2006/relationships/hyperlink" Target="https://pbprog.ru/tk/pi-1651" TargetMode="External"/><Relationship Id="rId5" Type="http://schemas.openxmlformats.org/officeDocument/2006/relationships/hyperlink" Target="https://pbprog.ru/tk/pi-1206" TargetMode="External"/><Relationship Id="rId15" Type="http://schemas.openxmlformats.org/officeDocument/2006/relationships/hyperlink" Target="https://pbprog.ru/tk/pi-206" TargetMode="External"/><Relationship Id="rId23" Type="http://schemas.openxmlformats.org/officeDocument/2006/relationships/hyperlink" Target="https://pbprog.ru/tk/pi-1183" TargetMode="External"/><Relationship Id="rId10" Type="http://schemas.openxmlformats.org/officeDocument/2006/relationships/hyperlink" Target="https://pbprog.ru/tk/pi-266" TargetMode="External"/><Relationship Id="rId19" Type="http://schemas.openxmlformats.org/officeDocument/2006/relationships/hyperlink" Target="https://pbprog.ru/tk/pi-1184" TargetMode="External"/><Relationship Id="rId4" Type="http://schemas.openxmlformats.org/officeDocument/2006/relationships/hyperlink" Target="https://pbprog.ru/tk/pi-1647" TargetMode="External"/><Relationship Id="rId9" Type="http://schemas.openxmlformats.org/officeDocument/2006/relationships/hyperlink" Target="https://pbprog.ru/tk/pi-1647" TargetMode="External"/><Relationship Id="rId14" Type="http://schemas.openxmlformats.org/officeDocument/2006/relationships/hyperlink" Target="https://pbprog.ru/tk/pi-1184" TargetMode="External"/><Relationship Id="rId22" Type="http://schemas.openxmlformats.org/officeDocument/2006/relationships/hyperlink" Target="https://pbprog.ru/tk/pi-164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89"/>
  <sheetViews>
    <sheetView topLeftCell="A23" zoomScale="80" zoomScaleNormal="80" workbookViewId="0">
      <pane ySplit="4" topLeftCell="A27" activePane="bottomLeft" state="frozen"/>
      <selection activeCell="A23" sqref="A23"/>
      <selection pane="bottomLeft" activeCell="T42" sqref="T42"/>
    </sheetView>
  </sheetViews>
  <sheetFormatPr defaultRowHeight="15" x14ac:dyDescent="0.25"/>
  <cols>
    <col min="1" max="1" width="22.28515625" customWidth="1"/>
    <col min="2" max="2" width="9.140625" style="181"/>
    <col min="3" max="3" width="37.5703125" style="181" customWidth="1"/>
    <col min="4" max="4" width="0" style="181" hidden="1" customWidth="1"/>
    <col min="5" max="7" width="9.140625" style="181" hidden="1" customWidth="1"/>
    <col min="8" max="8" width="10.5703125" style="181" hidden="1" customWidth="1"/>
    <col min="9" max="9" width="13.42578125" style="181" hidden="1" customWidth="1"/>
    <col min="10" max="11" width="9.140625" style="181"/>
    <col min="12" max="12" width="37.5703125" style="181" customWidth="1"/>
    <col min="13" max="13" width="0" hidden="1" customWidth="1"/>
    <col min="14" max="17" width="9.140625" hidden="1" customWidth="1"/>
    <col min="18" max="18" width="12.42578125" hidden="1" customWidth="1"/>
  </cols>
  <sheetData>
    <row r="1" spans="2:18" x14ac:dyDescent="0.25">
      <c r="B1" s="144" t="s">
        <v>39</v>
      </c>
      <c r="C1" s="145"/>
      <c r="D1" s="145"/>
      <c r="E1" s="145" t="s">
        <v>40</v>
      </c>
      <c r="F1" s="145"/>
      <c r="G1" s="146"/>
      <c r="H1" s="144"/>
      <c r="I1" s="144"/>
      <c r="J1" s="147"/>
      <c r="K1" s="144" t="s">
        <v>39</v>
      </c>
      <c r="L1" s="145"/>
      <c r="M1" s="21"/>
      <c r="N1" s="21" t="s">
        <v>40</v>
      </c>
      <c r="O1" s="21"/>
      <c r="P1" s="22"/>
      <c r="Q1" s="20"/>
      <c r="R1" s="20"/>
    </row>
    <row r="2" spans="2:18" x14ac:dyDescent="0.25">
      <c r="B2" s="144" t="s">
        <v>41</v>
      </c>
      <c r="C2" s="145"/>
      <c r="D2" s="145"/>
      <c r="E2" s="145" t="s">
        <v>42</v>
      </c>
      <c r="F2" s="145"/>
      <c r="G2" s="146"/>
      <c r="H2" s="144"/>
      <c r="I2" s="144"/>
      <c r="J2" s="147"/>
      <c r="K2" s="144" t="s">
        <v>41</v>
      </c>
      <c r="L2" s="145"/>
      <c r="M2" s="21"/>
      <c r="N2" s="21" t="s">
        <v>42</v>
      </c>
      <c r="O2" s="21"/>
      <c r="P2" s="22"/>
      <c r="Q2" s="20"/>
      <c r="R2" s="20"/>
    </row>
    <row r="3" spans="2:18" x14ac:dyDescent="0.25">
      <c r="B3" s="144" t="s">
        <v>43</v>
      </c>
      <c r="C3" s="145"/>
      <c r="D3" s="145"/>
      <c r="E3" s="145" t="s">
        <v>44</v>
      </c>
      <c r="F3" s="145"/>
      <c r="G3" s="146"/>
      <c r="H3" s="144"/>
      <c r="I3" s="144"/>
      <c r="J3" s="147"/>
      <c r="K3" s="144" t="s">
        <v>43</v>
      </c>
      <c r="L3" s="145"/>
      <c r="M3" s="21"/>
      <c r="N3" s="21" t="s">
        <v>44</v>
      </c>
      <c r="O3" s="21"/>
      <c r="P3" s="22"/>
      <c r="Q3" s="20"/>
      <c r="R3" s="20"/>
    </row>
    <row r="4" spans="2:18" hidden="1" x14ac:dyDescent="0.25">
      <c r="B4" s="144" t="s">
        <v>45</v>
      </c>
      <c r="C4" s="145"/>
      <c r="D4" s="145"/>
      <c r="E4" s="145"/>
      <c r="F4" s="145"/>
      <c r="G4" s="145"/>
      <c r="H4" s="145"/>
      <c r="I4" s="145"/>
      <c r="J4" s="147"/>
      <c r="K4" s="144" t="s">
        <v>45</v>
      </c>
      <c r="L4" s="145"/>
      <c r="M4" s="21"/>
      <c r="N4" s="21"/>
      <c r="O4" s="21"/>
      <c r="P4" s="21"/>
      <c r="Q4" s="21"/>
      <c r="R4" s="21"/>
    </row>
    <row r="5" spans="2:18" hidden="1" x14ac:dyDescent="0.25">
      <c r="B5" s="144"/>
      <c r="C5" s="145"/>
      <c r="D5" s="145"/>
      <c r="E5" s="145"/>
      <c r="F5" s="145"/>
      <c r="G5" s="145"/>
      <c r="H5" s="145"/>
      <c r="I5" s="145"/>
      <c r="J5" s="147"/>
      <c r="K5" s="144"/>
      <c r="L5" s="145"/>
      <c r="M5" s="21"/>
      <c r="N5" s="21"/>
      <c r="O5" s="21"/>
      <c r="P5" s="21"/>
      <c r="Q5" s="21"/>
      <c r="R5" s="21"/>
    </row>
    <row r="6" spans="2:18" hidden="1" x14ac:dyDescent="0.25">
      <c r="B6" s="144"/>
      <c r="C6" s="145"/>
      <c r="D6" s="145"/>
      <c r="E6" s="145"/>
      <c r="F6" s="145"/>
      <c r="G6" s="145"/>
      <c r="H6" s="145"/>
      <c r="I6" s="145"/>
      <c r="J6" s="147"/>
      <c r="K6" s="144"/>
      <c r="L6" s="145"/>
      <c r="M6" s="21"/>
      <c r="N6" s="21"/>
      <c r="O6" s="21"/>
      <c r="P6" s="21"/>
      <c r="Q6" s="21"/>
      <c r="R6" s="21"/>
    </row>
    <row r="7" spans="2:18" hidden="1" x14ac:dyDescent="0.25">
      <c r="B7" s="148" t="s">
        <v>46</v>
      </c>
      <c r="C7" s="149" t="s">
        <v>47</v>
      </c>
      <c r="D7" s="150"/>
      <c r="E7" s="148" t="s">
        <v>48</v>
      </c>
      <c r="F7" s="146"/>
      <c r="G7" s="146"/>
      <c r="H7" s="148"/>
      <c r="I7" s="149" t="s">
        <v>49</v>
      </c>
      <c r="J7" s="147"/>
      <c r="K7" s="148" t="s">
        <v>46</v>
      </c>
      <c r="L7" s="149" t="s">
        <v>47</v>
      </c>
      <c r="M7" s="25"/>
      <c r="N7" s="23" t="s">
        <v>48</v>
      </c>
      <c r="O7" s="22"/>
      <c r="P7" s="22"/>
      <c r="Q7" s="23"/>
      <c r="R7" s="24" t="s">
        <v>49</v>
      </c>
    </row>
    <row r="8" spans="2:18" hidden="1" x14ac:dyDescent="0.25"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21"/>
      <c r="N8" s="21"/>
      <c r="O8" s="21"/>
      <c r="P8" s="21"/>
      <c r="Q8" s="21"/>
      <c r="R8" s="21"/>
    </row>
    <row r="9" spans="2:18" hidden="1" x14ac:dyDescent="0.25"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21"/>
      <c r="N9" s="21"/>
      <c r="O9" s="21"/>
      <c r="P9" s="21"/>
      <c r="Q9" s="21"/>
      <c r="R9" s="21"/>
    </row>
    <row r="10" spans="2:18" hidden="1" x14ac:dyDescent="0.25"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22"/>
      <c r="N10" s="22"/>
      <c r="O10" s="22"/>
      <c r="P10" s="22"/>
      <c r="Q10" s="22"/>
      <c r="R10" s="22"/>
    </row>
    <row r="11" spans="2:18" hidden="1" x14ac:dyDescent="0.25"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22"/>
      <c r="N11" s="22"/>
      <c r="O11" s="22"/>
      <c r="P11" s="22"/>
      <c r="Q11" s="22"/>
      <c r="R11" s="22"/>
    </row>
    <row r="12" spans="2:18" ht="20.25" hidden="1" x14ac:dyDescent="0.25">
      <c r="B12" s="211" t="s">
        <v>50</v>
      </c>
      <c r="C12" s="211"/>
      <c r="D12" s="211"/>
      <c r="E12" s="211"/>
      <c r="F12" s="211"/>
      <c r="G12" s="211"/>
      <c r="H12" s="211"/>
      <c r="I12" s="211"/>
      <c r="J12" s="151"/>
      <c r="K12" s="209" t="s">
        <v>50</v>
      </c>
      <c r="L12" s="209"/>
      <c r="M12" s="209"/>
      <c r="N12" s="209"/>
      <c r="O12" s="209"/>
      <c r="P12" s="209"/>
      <c r="Q12" s="209"/>
      <c r="R12" s="209"/>
    </row>
    <row r="13" spans="2:18" ht="15.75" hidden="1" x14ac:dyDescent="0.25">
      <c r="B13" s="212" t="s">
        <v>51</v>
      </c>
      <c r="C13" s="212"/>
      <c r="D13" s="212"/>
      <c r="E13" s="212"/>
      <c r="F13" s="212"/>
      <c r="G13" s="212"/>
      <c r="H13" s="212"/>
      <c r="I13" s="212"/>
      <c r="J13" s="152"/>
      <c r="K13" s="210" t="s">
        <v>51</v>
      </c>
      <c r="L13" s="210"/>
      <c r="M13" s="210"/>
      <c r="N13" s="210"/>
      <c r="O13" s="210"/>
      <c r="P13" s="210"/>
      <c r="Q13" s="210"/>
      <c r="R13" s="210"/>
    </row>
    <row r="14" spans="2:18" ht="15.75" hidden="1" x14ac:dyDescent="0.25">
      <c r="B14" s="212" t="s">
        <v>52</v>
      </c>
      <c r="C14" s="212"/>
      <c r="D14" s="212"/>
      <c r="E14" s="212"/>
      <c r="F14" s="212"/>
      <c r="G14" s="212"/>
      <c r="H14" s="212"/>
      <c r="I14" s="212"/>
      <c r="J14" s="152"/>
      <c r="K14" s="210" t="s">
        <v>52</v>
      </c>
      <c r="L14" s="210"/>
      <c r="M14" s="210"/>
      <c r="N14" s="210"/>
      <c r="O14" s="210"/>
      <c r="P14" s="210"/>
      <c r="Q14" s="210"/>
      <c r="R14" s="210"/>
    </row>
    <row r="15" spans="2:18" ht="15.75" hidden="1" x14ac:dyDescent="0.25">
      <c r="B15" s="212" t="s">
        <v>53</v>
      </c>
      <c r="C15" s="212"/>
      <c r="D15" s="212"/>
      <c r="E15" s="212"/>
      <c r="F15" s="212"/>
      <c r="G15" s="212"/>
      <c r="H15" s="212"/>
      <c r="I15" s="212"/>
      <c r="J15" s="152"/>
      <c r="K15" s="210" t="s">
        <v>53</v>
      </c>
      <c r="L15" s="210"/>
      <c r="M15" s="210"/>
      <c r="N15" s="210"/>
      <c r="O15" s="210"/>
      <c r="P15" s="210"/>
      <c r="Q15" s="210"/>
      <c r="R15" s="210"/>
    </row>
    <row r="16" spans="2:18" ht="15.75" hidden="1" x14ac:dyDescent="0.25">
      <c r="B16" s="212" t="s">
        <v>54</v>
      </c>
      <c r="C16" s="212"/>
      <c r="D16" s="212"/>
      <c r="E16" s="212"/>
      <c r="F16" s="212"/>
      <c r="G16" s="212"/>
      <c r="H16" s="212"/>
      <c r="I16" s="212"/>
      <c r="J16" s="152"/>
      <c r="K16" s="210" t="s">
        <v>54</v>
      </c>
      <c r="L16" s="210"/>
      <c r="M16" s="210"/>
      <c r="N16" s="210"/>
      <c r="O16" s="210"/>
      <c r="P16" s="210"/>
      <c r="Q16" s="210"/>
      <c r="R16" s="210"/>
    </row>
    <row r="17" spans="2:18" hidden="1" x14ac:dyDescent="0.25">
      <c r="B17" s="208" t="s">
        <v>55</v>
      </c>
      <c r="C17" s="208"/>
      <c r="D17" s="208"/>
      <c r="E17" s="208"/>
      <c r="F17" s="208"/>
      <c r="G17" s="208"/>
      <c r="H17" s="208"/>
      <c r="I17" s="208"/>
      <c r="J17" s="153"/>
      <c r="K17" s="205" t="s">
        <v>55</v>
      </c>
      <c r="L17" s="205"/>
      <c r="M17" s="205"/>
      <c r="N17" s="205"/>
      <c r="O17" s="205"/>
      <c r="P17" s="205"/>
      <c r="Q17" s="205"/>
      <c r="R17" s="205"/>
    </row>
    <row r="18" spans="2:18" hidden="1" x14ac:dyDescent="0.25">
      <c r="B18" s="208" t="s">
        <v>56</v>
      </c>
      <c r="C18" s="208"/>
      <c r="D18" s="208"/>
      <c r="E18" s="208"/>
      <c r="F18" s="208"/>
      <c r="G18" s="208"/>
      <c r="H18" s="208"/>
      <c r="I18" s="208"/>
      <c r="J18" s="154"/>
      <c r="K18" s="205" t="s">
        <v>56</v>
      </c>
      <c r="L18" s="205"/>
      <c r="M18" s="205"/>
      <c r="N18" s="205"/>
      <c r="O18" s="205"/>
      <c r="P18" s="205"/>
      <c r="Q18" s="205"/>
      <c r="R18" s="205"/>
    </row>
    <row r="19" spans="2:18" hidden="1" x14ac:dyDescent="0.25">
      <c r="B19" s="155"/>
      <c r="C19" s="155"/>
      <c r="D19" s="155"/>
      <c r="E19" s="155"/>
      <c r="F19" s="155"/>
      <c r="G19" s="155"/>
      <c r="H19" s="155"/>
      <c r="I19" s="155"/>
      <c r="J19" s="156"/>
      <c r="K19" s="155"/>
      <c r="L19" s="155"/>
      <c r="M19" s="26"/>
      <c r="N19" s="26"/>
      <c r="O19" s="26"/>
      <c r="P19" s="26"/>
      <c r="Q19" s="26"/>
      <c r="R19" s="26"/>
    </row>
    <row r="20" spans="2:18" hidden="1" x14ac:dyDescent="0.25">
      <c r="B20" s="155"/>
      <c r="C20" s="155"/>
      <c r="D20" s="155"/>
      <c r="E20" s="155"/>
      <c r="F20" s="155"/>
      <c r="G20" s="155"/>
      <c r="H20" s="155"/>
      <c r="I20" s="155"/>
      <c r="J20" s="156"/>
      <c r="K20" s="155"/>
      <c r="L20" s="155"/>
      <c r="M20" s="26"/>
      <c r="N20" s="26"/>
      <c r="O20" s="26"/>
      <c r="P20" s="26"/>
      <c r="Q20" s="26"/>
      <c r="R20" s="26"/>
    </row>
    <row r="21" spans="2:18" hidden="1" x14ac:dyDescent="0.25">
      <c r="B21" s="155"/>
      <c r="C21" s="155"/>
      <c r="D21" s="155"/>
      <c r="E21" s="155"/>
      <c r="F21" s="155"/>
      <c r="G21" s="155"/>
      <c r="H21" s="155"/>
      <c r="I21" s="155"/>
      <c r="J21" s="156"/>
      <c r="K21" s="155"/>
      <c r="L21" s="155"/>
      <c r="M21" s="26"/>
      <c r="N21" s="26"/>
      <c r="O21" s="26"/>
      <c r="P21" s="26"/>
      <c r="Q21" s="26"/>
      <c r="R21" s="26"/>
    </row>
    <row r="22" spans="2:18" hidden="1" x14ac:dyDescent="0.25">
      <c r="B22" s="155"/>
      <c r="C22" s="155"/>
      <c r="D22" s="155"/>
      <c r="E22" s="155"/>
      <c r="F22" s="155"/>
      <c r="G22" s="155"/>
      <c r="H22" s="155"/>
      <c r="I22" s="155"/>
      <c r="J22" s="156"/>
      <c r="K22" s="155"/>
      <c r="L22" s="155"/>
      <c r="M22" s="26"/>
      <c r="N22" s="26"/>
      <c r="O22" s="26"/>
      <c r="P22" s="26"/>
      <c r="Q22" s="26"/>
      <c r="R22" s="26"/>
    </row>
    <row r="23" spans="2:18" x14ac:dyDescent="0.25">
      <c r="B23" s="144" t="s">
        <v>57</v>
      </c>
      <c r="C23" s="148"/>
      <c r="D23" s="148"/>
      <c r="E23" s="148"/>
      <c r="F23" s="148"/>
      <c r="G23" s="148"/>
      <c r="H23" s="148"/>
      <c r="I23" s="148"/>
      <c r="J23" s="156"/>
      <c r="K23" s="144" t="s">
        <v>137</v>
      </c>
      <c r="L23" s="148"/>
      <c r="M23" s="23"/>
      <c r="N23" s="23"/>
      <c r="O23" s="23"/>
      <c r="P23" s="23"/>
      <c r="Q23" s="23"/>
      <c r="R23" s="23"/>
    </row>
    <row r="24" spans="2:18" x14ac:dyDescent="0.25">
      <c r="B24" s="157"/>
      <c r="C24" s="157"/>
      <c r="D24" s="157"/>
      <c r="E24" s="157"/>
      <c r="F24" s="157"/>
      <c r="G24" s="157"/>
      <c r="H24" s="157"/>
      <c r="I24" s="157"/>
      <c r="J24" s="147"/>
      <c r="K24" s="157"/>
      <c r="L24" s="157"/>
      <c r="M24" s="27"/>
      <c r="N24" s="27"/>
      <c r="O24" s="27"/>
      <c r="P24" s="27"/>
      <c r="Q24" s="27"/>
      <c r="R24" s="27"/>
    </row>
    <row r="25" spans="2:18" x14ac:dyDescent="0.25">
      <c r="B25" s="206" t="s">
        <v>0</v>
      </c>
      <c r="C25" s="206" t="s">
        <v>1</v>
      </c>
      <c r="D25" s="206" t="s">
        <v>2</v>
      </c>
      <c r="E25" s="206" t="s">
        <v>7</v>
      </c>
      <c r="F25" s="206"/>
      <c r="G25" s="206"/>
      <c r="H25" s="206" t="s">
        <v>8</v>
      </c>
      <c r="I25" s="206" t="s">
        <v>9</v>
      </c>
      <c r="J25" s="147"/>
      <c r="K25" s="206" t="s">
        <v>0</v>
      </c>
      <c r="L25" s="206" t="s">
        <v>1</v>
      </c>
      <c r="M25" s="207" t="s">
        <v>2</v>
      </c>
      <c r="N25" s="207" t="s">
        <v>7</v>
      </c>
      <c r="O25" s="207"/>
      <c r="P25" s="207"/>
      <c r="Q25" s="207" t="s">
        <v>8</v>
      </c>
      <c r="R25" s="207" t="s">
        <v>9</v>
      </c>
    </row>
    <row r="26" spans="2:18" ht="25.5" x14ac:dyDescent="0.25">
      <c r="B26" s="206"/>
      <c r="C26" s="206"/>
      <c r="D26" s="206"/>
      <c r="E26" s="158" t="s">
        <v>10</v>
      </c>
      <c r="F26" s="158" t="s">
        <v>11</v>
      </c>
      <c r="G26" s="158" t="s">
        <v>12</v>
      </c>
      <c r="H26" s="206"/>
      <c r="I26" s="206"/>
      <c r="J26" s="147"/>
      <c r="K26" s="206"/>
      <c r="L26" s="206"/>
      <c r="M26" s="207"/>
      <c r="N26" s="29" t="s">
        <v>10</v>
      </c>
      <c r="O26" s="29" t="s">
        <v>11</v>
      </c>
      <c r="P26" s="29" t="s">
        <v>12</v>
      </c>
      <c r="Q26" s="207"/>
      <c r="R26" s="207"/>
    </row>
    <row r="27" spans="2:18" x14ac:dyDescent="0.25">
      <c r="B27" s="159" t="s">
        <v>58</v>
      </c>
      <c r="C27" s="160"/>
      <c r="D27" s="160"/>
      <c r="E27" s="160"/>
      <c r="F27" s="160"/>
      <c r="G27" s="160"/>
      <c r="H27" s="160"/>
      <c r="I27" s="161"/>
      <c r="J27" s="147"/>
      <c r="K27" s="201" t="s">
        <v>58</v>
      </c>
      <c r="L27" s="202"/>
      <c r="M27" s="202"/>
      <c r="N27" s="202"/>
      <c r="O27" s="202"/>
      <c r="P27" s="202"/>
      <c r="Q27" s="202"/>
      <c r="R27" s="203"/>
    </row>
    <row r="28" spans="2:18" ht="14.25" customHeight="1" x14ac:dyDescent="0.25">
      <c r="B28" s="159" t="s">
        <v>59</v>
      </c>
      <c r="C28" s="160"/>
      <c r="D28" s="160"/>
      <c r="E28" s="160"/>
      <c r="F28" s="160"/>
      <c r="G28" s="160"/>
      <c r="H28" s="160"/>
      <c r="I28" s="161"/>
      <c r="J28" s="147"/>
      <c r="K28" s="201" t="s">
        <v>59</v>
      </c>
      <c r="L28" s="202"/>
      <c r="M28" s="202"/>
      <c r="N28" s="204"/>
      <c r="O28" s="204"/>
      <c r="P28" s="204"/>
      <c r="Q28" s="204"/>
      <c r="R28" s="203"/>
    </row>
    <row r="29" spans="2:18" ht="14.25" customHeight="1" x14ac:dyDescent="0.25">
      <c r="B29" s="197" t="s">
        <v>3</v>
      </c>
      <c r="C29" s="162" t="s">
        <v>24</v>
      </c>
      <c r="D29" s="163">
        <v>50</v>
      </c>
      <c r="E29" s="164">
        <v>5.98</v>
      </c>
      <c r="F29" s="164">
        <v>7.53</v>
      </c>
      <c r="G29" s="164">
        <v>15.72</v>
      </c>
      <c r="H29" s="164">
        <v>157.15</v>
      </c>
      <c r="I29" s="165" t="s">
        <v>28</v>
      </c>
      <c r="J29" s="147"/>
      <c r="K29" s="197" t="s">
        <v>3</v>
      </c>
      <c r="L29" s="162" t="s">
        <v>24</v>
      </c>
      <c r="M29" s="43">
        <v>50</v>
      </c>
      <c r="N29" s="115">
        <v>5.98</v>
      </c>
      <c r="O29" s="115">
        <v>7.53</v>
      </c>
      <c r="P29" s="115">
        <v>15.72</v>
      </c>
      <c r="Q29" s="115">
        <v>157.15</v>
      </c>
      <c r="R29" s="109" t="s">
        <v>28</v>
      </c>
    </row>
    <row r="30" spans="2:18" ht="14.25" customHeight="1" x14ac:dyDescent="0.25">
      <c r="B30" s="197"/>
      <c r="C30" s="143" t="s">
        <v>246</v>
      </c>
      <c r="D30" s="143">
        <v>200</v>
      </c>
      <c r="E30" s="166">
        <v>5</v>
      </c>
      <c r="F30" s="166">
        <v>6.9</v>
      </c>
      <c r="G30" s="166">
        <v>23.9</v>
      </c>
      <c r="H30" s="166">
        <v>178</v>
      </c>
      <c r="I30" s="167" t="s">
        <v>247</v>
      </c>
      <c r="J30" s="147"/>
      <c r="K30" s="197"/>
      <c r="L30" s="143" t="s">
        <v>246</v>
      </c>
      <c r="M30" s="44">
        <v>200</v>
      </c>
      <c r="N30" s="110">
        <v>5</v>
      </c>
      <c r="O30" s="110">
        <v>6.9</v>
      </c>
      <c r="P30" s="110">
        <v>23.9</v>
      </c>
      <c r="Q30" s="110">
        <v>178</v>
      </c>
      <c r="R30" s="111" t="s">
        <v>247</v>
      </c>
    </row>
    <row r="31" spans="2:18" ht="14.25" customHeight="1" x14ac:dyDescent="0.25">
      <c r="B31" s="197"/>
      <c r="C31" s="168" t="s">
        <v>38</v>
      </c>
      <c r="D31" s="31">
        <v>200</v>
      </c>
      <c r="E31" s="31">
        <v>0.12</v>
      </c>
      <c r="F31" s="31">
        <v>0.02</v>
      </c>
      <c r="G31" s="31">
        <v>13.7</v>
      </c>
      <c r="H31" s="31">
        <v>55.9</v>
      </c>
      <c r="I31" s="169" t="s">
        <v>37</v>
      </c>
      <c r="J31" s="147"/>
      <c r="K31" s="197"/>
      <c r="L31" s="168" t="s">
        <v>38</v>
      </c>
      <c r="M31" s="3">
        <v>200</v>
      </c>
      <c r="N31" s="3">
        <v>0.12</v>
      </c>
      <c r="O31" s="3">
        <v>0.02</v>
      </c>
      <c r="P31" s="3">
        <v>13.7</v>
      </c>
      <c r="Q31" s="3">
        <v>55.9</v>
      </c>
      <c r="R31" s="108" t="s">
        <v>37</v>
      </c>
    </row>
    <row r="32" spans="2:18" ht="14.25" customHeight="1" x14ac:dyDescent="0.25">
      <c r="B32" s="197"/>
      <c r="C32" s="143" t="s">
        <v>14</v>
      </c>
      <c r="D32" s="33">
        <v>100</v>
      </c>
      <c r="E32" s="168">
        <v>0.27</v>
      </c>
      <c r="F32" s="168">
        <v>0.27</v>
      </c>
      <c r="G32" s="168">
        <v>6.53</v>
      </c>
      <c r="H32" s="32">
        <v>31.33</v>
      </c>
      <c r="I32" s="169"/>
      <c r="J32" s="147"/>
      <c r="K32" s="197"/>
      <c r="L32" s="143" t="s">
        <v>14</v>
      </c>
      <c r="M32" s="45">
        <v>100</v>
      </c>
      <c r="N32" s="2">
        <v>0.27</v>
      </c>
      <c r="O32" s="2">
        <v>0.27</v>
      </c>
      <c r="P32" s="2">
        <v>6.53</v>
      </c>
      <c r="Q32" s="6">
        <v>31.33</v>
      </c>
      <c r="R32" s="1"/>
    </row>
    <row r="33" spans="2:18" ht="14.25" customHeight="1" x14ac:dyDescent="0.25">
      <c r="B33" s="197"/>
      <c r="C33" s="168" t="s">
        <v>15</v>
      </c>
      <c r="D33" s="33">
        <v>200</v>
      </c>
      <c r="E33" s="168">
        <v>5.8</v>
      </c>
      <c r="F33" s="168">
        <v>6.4</v>
      </c>
      <c r="G33" s="168">
        <v>9.4</v>
      </c>
      <c r="H33" s="32">
        <v>120</v>
      </c>
      <c r="I33" s="169"/>
      <c r="J33" s="147"/>
      <c r="K33" s="197"/>
      <c r="L33" s="168" t="s">
        <v>15</v>
      </c>
      <c r="M33" s="1">
        <v>200</v>
      </c>
      <c r="N33" s="2">
        <v>5.8</v>
      </c>
      <c r="O33" s="2">
        <v>6.4</v>
      </c>
      <c r="P33" s="2">
        <v>9.4</v>
      </c>
      <c r="Q33" s="6">
        <v>120</v>
      </c>
      <c r="R33" s="1"/>
    </row>
    <row r="34" spans="2:18" ht="14.25" customHeight="1" x14ac:dyDescent="0.25">
      <c r="B34" s="187" t="s">
        <v>6</v>
      </c>
      <c r="C34" s="187"/>
      <c r="D34" s="170" t="e">
        <f>D29+D30+D31+D32+#REF!+D33</f>
        <v>#REF!</v>
      </c>
      <c r="E34" s="170" t="e">
        <f>E29+E30+E31+E32+#REF!+E33</f>
        <v>#REF!</v>
      </c>
      <c r="F34" s="170" t="e">
        <f>F29+F30+F31+F32+#REF!+F33</f>
        <v>#REF!</v>
      </c>
      <c r="G34" s="170" t="e">
        <f>G29+G30+G31+G32+#REF!+G33</f>
        <v>#REF!</v>
      </c>
      <c r="H34" s="170" t="e">
        <f>H29+H30+H31+H32+#REF!+H33</f>
        <v>#REF!</v>
      </c>
      <c r="I34" s="171"/>
      <c r="J34" s="147"/>
      <c r="K34" s="187" t="s">
        <v>6</v>
      </c>
      <c r="L34" s="187"/>
      <c r="M34" s="30" t="e">
        <f>M29+M30+M31+M32+#REF!+M33</f>
        <v>#REF!</v>
      </c>
      <c r="N34" s="30" t="e">
        <f>N29+N30+N31+N32+#REF!+N33</f>
        <v>#REF!</v>
      </c>
      <c r="O34" s="30" t="e">
        <f>O29+O30+O31+O32+#REF!+O33</f>
        <v>#REF!</v>
      </c>
      <c r="P34" s="30" t="e">
        <f>P29+P30+P31+P32+#REF!+P33</f>
        <v>#REF!</v>
      </c>
      <c r="Q34" s="30" t="e">
        <f>Q29+Q30+Q31+Q32+#REF!+Q33</f>
        <v>#REF!</v>
      </c>
      <c r="R34" s="1"/>
    </row>
    <row r="35" spans="2:18" ht="30" customHeight="1" x14ac:dyDescent="0.25">
      <c r="B35" s="197" t="s">
        <v>61</v>
      </c>
      <c r="C35" s="168" t="s">
        <v>249</v>
      </c>
      <c r="D35" s="31">
        <v>60</v>
      </c>
      <c r="E35" s="31">
        <v>0.66</v>
      </c>
      <c r="F35" s="31">
        <v>6.06</v>
      </c>
      <c r="G35" s="31">
        <v>5.46</v>
      </c>
      <c r="H35" s="32">
        <v>79.2</v>
      </c>
      <c r="I35" s="169"/>
      <c r="J35" s="147"/>
      <c r="K35" s="197" t="s">
        <v>61</v>
      </c>
      <c r="L35" s="168" t="s">
        <v>249</v>
      </c>
      <c r="M35" s="3">
        <v>100</v>
      </c>
      <c r="N35" s="3">
        <v>1.1000000000000001</v>
      </c>
      <c r="O35" s="3">
        <v>10.1</v>
      </c>
      <c r="P35" s="3">
        <v>9.1</v>
      </c>
      <c r="Q35" s="6">
        <v>132</v>
      </c>
      <c r="R35" s="3"/>
    </row>
    <row r="36" spans="2:18" ht="14.25" customHeight="1" x14ac:dyDescent="0.25">
      <c r="B36" s="197"/>
      <c r="C36" s="168" t="s">
        <v>68</v>
      </c>
      <c r="D36" s="31">
        <v>200</v>
      </c>
      <c r="E36" s="31">
        <v>1.4</v>
      </c>
      <c r="F36" s="31">
        <v>3.98</v>
      </c>
      <c r="G36" s="31">
        <v>6.22</v>
      </c>
      <c r="H36" s="32">
        <v>6.6</v>
      </c>
      <c r="I36" s="169" t="s">
        <v>250</v>
      </c>
      <c r="J36" s="147"/>
      <c r="K36" s="197"/>
      <c r="L36" s="168" t="s">
        <v>68</v>
      </c>
      <c r="M36" s="3">
        <v>250</v>
      </c>
      <c r="N36" s="3">
        <v>1.75</v>
      </c>
      <c r="O36" s="3">
        <v>4.9800000000000004</v>
      </c>
      <c r="P36" s="3">
        <v>7.78</v>
      </c>
      <c r="Q36" s="6">
        <v>8.25</v>
      </c>
      <c r="R36" s="108" t="s">
        <v>250</v>
      </c>
    </row>
    <row r="37" spans="2:18" ht="14.25" customHeight="1" x14ac:dyDescent="0.25">
      <c r="B37" s="197"/>
      <c r="C37" s="168" t="s">
        <v>62</v>
      </c>
      <c r="D37" s="31">
        <v>150</v>
      </c>
      <c r="E37" s="31">
        <v>5.21</v>
      </c>
      <c r="F37" s="31">
        <v>6.9</v>
      </c>
      <c r="G37" s="31">
        <v>35.9</v>
      </c>
      <c r="H37" s="32">
        <v>238.91</v>
      </c>
      <c r="I37" s="169" t="s">
        <v>251</v>
      </c>
      <c r="J37" s="147"/>
      <c r="K37" s="197"/>
      <c r="L37" s="168" t="s">
        <v>62</v>
      </c>
      <c r="M37" s="3">
        <v>180</v>
      </c>
      <c r="N37" s="3">
        <v>9.85</v>
      </c>
      <c r="O37" s="3">
        <v>8.2799999999999994</v>
      </c>
      <c r="P37" s="3">
        <v>43.07</v>
      </c>
      <c r="Q37" s="6">
        <v>286.69</v>
      </c>
      <c r="R37" s="108" t="s">
        <v>251</v>
      </c>
    </row>
    <row r="38" spans="2:18" ht="14.25" customHeight="1" x14ac:dyDescent="0.25">
      <c r="B38" s="197"/>
      <c r="C38" s="168" t="s">
        <v>107</v>
      </c>
      <c r="D38" s="31">
        <v>90</v>
      </c>
      <c r="E38" s="31">
        <v>17.28</v>
      </c>
      <c r="F38" s="31">
        <v>3.96</v>
      </c>
      <c r="G38" s="31">
        <v>12.12</v>
      </c>
      <c r="H38" s="32">
        <v>152.52000000000001</v>
      </c>
      <c r="I38" s="169" t="s">
        <v>252</v>
      </c>
      <c r="J38" s="147"/>
      <c r="K38" s="197"/>
      <c r="L38" s="168" t="s">
        <v>107</v>
      </c>
      <c r="M38" s="3">
        <v>100</v>
      </c>
      <c r="N38" s="3">
        <v>19.2</v>
      </c>
      <c r="O38" s="3">
        <v>4.4000000000000004</v>
      </c>
      <c r="P38" s="3">
        <v>13.47</v>
      </c>
      <c r="Q38" s="6">
        <v>169.47</v>
      </c>
      <c r="R38" s="108" t="s">
        <v>252</v>
      </c>
    </row>
    <row r="39" spans="2:18" ht="14.25" customHeight="1" x14ac:dyDescent="0.25">
      <c r="B39" s="197"/>
      <c r="C39" s="168" t="s">
        <v>87</v>
      </c>
      <c r="D39" s="31">
        <v>200</v>
      </c>
      <c r="E39" s="31">
        <v>1</v>
      </c>
      <c r="F39" s="31">
        <v>0.2</v>
      </c>
      <c r="G39" s="31">
        <v>20.2</v>
      </c>
      <c r="H39" s="32">
        <v>92</v>
      </c>
      <c r="I39" s="169"/>
      <c r="J39" s="147"/>
      <c r="K39" s="197"/>
      <c r="L39" s="168" t="s">
        <v>87</v>
      </c>
      <c r="M39" s="3">
        <v>200</v>
      </c>
      <c r="N39" s="3">
        <v>1</v>
      </c>
      <c r="O39" s="3">
        <v>0.2</v>
      </c>
      <c r="P39" s="3">
        <v>20.2</v>
      </c>
      <c r="Q39" s="6">
        <v>92</v>
      </c>
      <c r="R39" s="3"/>
    </row>
    <row r="40" spans="2:18" ht="14.25" customHeight="1" x14ac:dyDescent="0.25">
      <c r="B40" s="197"/>
      <c r="C40" s="168" t="s">
        <v>4</v>
      </c>
      <c r="D40" s="31">
        <v>30</v>
      </c>
      <c r="E40" s="31"/>
      <c r="F40" s="31"/>
      <c r="G40" s="31"/>
      <c r="H40" s="32"/>
      <c r="I40" s="169"/>
      <c r="J40" s="147"/>
      <c r="K40" s="197"/>
      <c r="L40" s="168" t="s">
        <v>4</v>
      </c>
      <c r="M40" s="3">
        <v>30</v>
      </c>
      <c r="N40" s="3"/>
      <c r="O40" s="3"/>
      <c r="P40" s="3"/>
      <c r="Q40" s="6"/>
      <c r="R40" s="1"/>
    </row>
    <row r="41" spans="2:18" ht="14.25" customHeight="1" x14ac:dyDescent="0.25">
      <c r="B41" s="197"/>
      <c r="C41" s="168" t="s">
        <v>63</v>
      </c>
      <c r="D41" s="31">
        <v>40</v>
      </c>
      <c r="E41" s="32"/>
      <c r="F41" s="32"/>
      <c r="G41" s="32"/>
      <c r="H41" s="32"/>
      <c r="I41" s="169"/>
      <c r="J41" s="147"/>
      <c r="K41" s="197"/>
      <c r="L41" s="168" t="s">
        <v>63</v>
      </c>
      <c r="M41" s="3">
        <v>40</v>
      </c>
      <c r="N41" s="6"/>
      <c r="O41" s="6"/>
      <c r="P41" s="6"/>
      <c r="Q41" s="6"/>
      <c r="R41" s="1"/>
    </row>
    <row r="42" spans="2:18" ht="14.25" customHeight="1" x14ac:dyDescent="0.25">
      <c r="B42" s="187" t="s">
        <v>64</v>
      </c>
      <c r="C42" s="187"/>
      <c r="D42" s="170">
        <f>D35+D36+D37+D38+D39+D40+D41</f>
        <v>770</v>
      </c>
      <c r="E42" s="170">
        <f t="shared" ref="E42:H42" si="0">E35+E36+E37+E38+E39+E40+E41</f>
        <v>25.55</v>
      </c>
      <c r="F42" s="170">
        <f t="shared" si="0"/>
        <v>21.099999999999998</v>
      </c>
      <c r="G42" s="170">
        <f t="shared" si="0"/>
        <v>79.899999999999991</v>
      </c>
      <c r="H42" s="170">
        <f t="shared" si="0"/>
        <v>569.23</v>
      </c>
      <c r="I42" s="33"/>
      <c r="J42" s="147"/>
      <c r="K42" s="187" t="s">
        <v>64</v>
      </c>
      <c r="L42" s="187"/>
      <c r="M42" s="30">
        <f>M35+M36+M37+M38+M39+M40+M41</f>
        <v>900</v>
      </c>
      <c r="N42" s="30">
        <f t="shared" ref="N42:Q42" si="1">N35+N36+N37+N38+N39+N40+N41</f>
        <v>32.9</v>
      </c>
      <c r="O42" s="30">
        <f t="shared" si="1"/>
        <v>27.959999999999997</v>
      </c>
      <c r="P42" s="30">
        <f t="shared" si="1"/>
        <v>93.62</v>
      </c>
      <c r="Q42" s="30">
        <f t="shared" si="1"/>
        <v>688.41</v>
      </c>
      <c r="R42" s="1"/>
    </row>
    <row r="43" spans="2:18" ht="14.25" customHeight="1" x14ac:dyDescent="0.25">
      <c r="B43" s="187" t="s">
        <v>65</v>
      </c>
      <c r="C43" s="187"/>
      <c r="D43" s="170" t="e">
        <f>D34+D42</f>
        <v>#REF!</v>
      </c>
      <c r="E43" s="170" t="e">
        <f t="shared" ref="E43:H43" si="2">E34+E42</f>
        <v>#REF!</v>
      </c>
      <c r="F43" s="170" t="e">
        <f t="shared" si="2"/>
        <v>#REF!</v>
      </c>
      <c r="G43" s="170" t="e">
        <f t="shared" si="2"/>
        <v>#REF!</v>
      </c>
      <c r="H43" s="170" t="e">
        <f t="shared" si="2"/>
        <v>#REF!</v>
      </c>
      <c r="I43" s="170"/>
      <c r="J43" s="147"/>
      <c r="K43" s="187" t="s">
        <v>65</v>
      </c>
      <c r="L43" s="187"/>
      <c r="M43" s="30" t="e">
        <f>M34+M42</f>
        <v>#REF!</v>
      </c>
      <c r="N43" s="30" t="e">
        <f t="shared" ref="N43:Q43" si="3">N34+N42</f>
        <v>#REF!</v>
      </c>
      <c r="O43" s="30" t="e">
        <f t="shared" si="3"/>
        <v>#REF!</v>
      </c>
      <c r="P43" s="30" t="e">
        <f t="shared" si="3"/>
        <v>#REF!</v>
      </c>
      <c r="Q43" s="30" t="e">
        <f t="shared" si="3"/>
        <v>#REF!</v>
      </c>
      <c r="R43" s="30"/>
    </row>
    <row r="44" spans="2:18" ht="14.25" customHeight="1" x14ac:dyDescent="0.25">
      <c r="B44" s="159" t="s">
        <v>66</v>
      </c>
      <c r="C44" s="160"/>
      <c r="D44" s="160"/>
      <c r="E44" s="160"/>
      <c r="F44" s="160"/>
      <c r="G44" s="160"/>
      <c r="H44" s="160"/>
      <c r="I44" s="161"/>
      <c r="J44" s="147"/>
      <c r="K44" s="159" t="s">
        <v>66</v>
      </c>
      <c r="L44" s="160"/>
      <c r="M44" s="126"/>
      <c r="N44" s="126"/>
      <c r="O44" s="126"/>
      <c r="P44" s="126"/>
      <c r="Q44" s="126"/>
      <c r="R44" s="127"/>
    </row>
    <row r="45" spans="2:18" ht="14.25" customHeight="1" x14ac:dyDescent="0.25">
      <c r="B45" s="197" t="s">
        <v>3</v>
      </c>
      <c r="C45" s="172" t="s">
        <v>289</v>
      </c>
      <c r="D45" s="33">
        <v>200</v>
      </c>
      <c r="E45" s="33"/>
      <c r="F45" s="33"/>
      <c r="G45" s="33"/>
      <c r="H45" s="33"/>
      <c r="I45" s="169"/>
      <c r="J45" s="147"/>
      <c r="K45" s="197" t="s">
        <v>3</v>
      </c>
      <c r="L45" s="172" t="s">
        <v>289</v>
      </c>
      <c r="M45" s="1">
        <v>200</v>
      </c>
      <c r="N45" s="1"/>
      <c r="O45" s="1"/>
      <c r="P45" s="1"/>
      <c r="Q45" s="1"/>
      <c r="R45" s="1"/>
    </row>
    <row r="46" spans="2:18" ht="14.25" customHeight="1" x14ac:dyDescent="0.25">
      <c r="B46" s="197"/>
      <c r="C46" s="33" t="s">
        <v>4</v>
      </c>
      <c r="D46" s="33">
        <v>30</v>
      </c>
      <c r="E46" s="33"/>
      <c r="F46" s="33"/>
      <c r="G46" s="33"/>
      <c r="H46" s="33"/>
      <c r="I46" s="169"/>
      <c r="J46" s="147"/>
      <c r="K46" s="197"/>
      <c r="L46" s="33" t="s">
        <v>4</v>
      </c>
      <c r="M46" s="1">
        <v>30</v>
      </c>
      <c r="N46" s="1"/>
      <c r="O46" s="1"/>
      <c r="P46" s="1"/>
      <c r="Q46" s="1"/>
      <c r="R46" s="1"/>
    </row>
    <row r="47" spans="2:18" ht="14.25" customHeight="1" x14ac:dyDescent="0.25">
      <c r="B47" s="197"/>
      <c r="C47" s="33" t="s">
        <v>89</v>
      </c>
      <c r="D47" s="31">
        <v>200</v>
      </c>
      <c r="E47" s="31"/>
      <c r="F47" s="31"/>
      <c r="G47" s="31"/>
      <c r="H47" s="32"/>
      <c r="I47" s="169"/>
      <c r="J47" s="147"/>
      <c r="K47" s="197"/>
      <c r="L47" s="33" t="s">
        <v>89</v>
      </c>
      <c r="M47" s="3">
        <v>200</v>
      </c>
      <c r="N47" s="3"/>
      <c r="O47" s="3"/>
      <c r="P47" s="3"/>
      <c r="Q47" s="6"/>
      <c r="R47" s="1"/>
    </row>
    <row r="48" spans="2:18" ht="14.25" customHeight="1" x14ac:dyDescent="0.25">
      <c r="B48" s="197"/>
      <c r="C48" s="143" t="s">
        <v>14</v>
      </c>
      <c r="D48" s="33">
        <v>100</v>
      </c>
      <c r="E48" s="168">
        <v>0.27</v>
      </c>
      <c r="F48" s="168">
        <v>0.27</v>
      </c>
      <c r="G48" s="168">
        <v>6.53</v>
      </c>
      <c r="H48" s="32">
        <v>31.33</v>
      </c>
      <c r="I48" s="169"/>
      <c r="J48" s="147"/>
      <c r="K48" s="197"/>
      <c r="L48" s="143" t="s">
        <v>14</v>
      </c>
      <c r="M48" s="1">
        <v>100</v>
      </c>
      <c r="N48" s="2">
        <v>0.27</v>
      </c>
      <c r="O48" s="2">
        <v>0.27</v>
      </c>
      <c r="P48" s="2">
        <v>6.53</v>
      </c>
      <c r="Q48" s="6">
        <v>31.33</v>
      </c>
      <c r="R48" s="1"/>
    </row>
    <row r="49" spans="2:18" ht="14.25" customHeight="1" x14ac:dyDescent="0.25">
      <c r="B49" s="197"/>
      <c r="C49" s="168" t="s">
        <v>15</v>
      </c>
      <c r="D49" s="33">
        <v>200</v>
      </c>
      <c r="E49" s="168">
        <v>5.8</v>
      </c>
      <c r="F49" s="168">
        <v>6.4</v>
      </c>
      <c r="G49" s="168">
        <v>9.4</v>
      </c>
      <c r="H49" s="32">
        <v>120</v>
      </c>
      <c r="I49" s="169"/>
      <c r="J49" s="147"/>
      <c r="K49" s="197"/>
      <c r="L49" s="168" t="s">
        <v>15</v>
      </c>
      <c r="M49" s="1">
        <v>200</v>
      </c>
      <c r="N49" s="2">
        <v>5.8</v>
      </c>
      <c r="O49" s="2">
        <v>6.4</v>
      </c>
      <c r="P49" s="2">
        <v>9.4</v>
      </c>
      <c r="Q49" s="6">
        <v>120</v>
      </c>
      <c r="R49" s="1"/>
    </row>
    <row r="50" spans="2:18" ht="14.25" customHeight="1" x14ac:dyDescent="0.25">
      <c r="B50" s="187" t="s">
        <v>6</v>
      </c>
      <c r="C50" s="187"/>
      <c r="D50" s="170" t="e">
        <f>D47+D48+#REF!+D49+233</f>
        <v>#REF!</v>
      </c>
      <c r="E50" s="170" t="e">
        <f>E45+E47+E48+#REF!+E49</f>
        <v>#REF!</v>
      </c>
      <c r="F50" s="170" t="e">
        <f>F45+F47+F48+#REF!+F49</f>
        <v>#REF!</v>
      </c>
      <c r="G50" s="170" t="e">
        <f>G45+G47+G48+#REF!+G49</f>
        <v>#REF!</v>
      </c>
      <c r="H50" s="170" t="e">
        <f>H45+H47+H48+#REF!+H49</f>
        <v>#REF!</v>
      </c>
      <c r="I50" s="33"/>
      <c r="J50" s="147"/>
      <c r="K50" s="187" t="s">
        <v>6</v>
      </c>
      <c r="L50" s="187"/>
      <c r="M50" s="30" t="e">
        <f>M47+M48+#REF!+M49+233</f>
        <v>#REF!</v>
      </c>
      <c r="N50" s="30" t="e">
        <f>N45+N47+N48+#REF!+N49</f>
        <v>#REF!</v>
      </c>
      <c r="O50" s="30" t="e">
        <f>O45+O47+O48+#REF!+O49</f>
        <v>#REF!</v>
      </c>
      <c r="P50" s="30" t="e">
        <f>P45+P47+P48+#REF!+P49</f>
        <v>#REF!</v>
      </c>
      <c r="Q50" s="30" t="e">
        <f>Q45+Q47+Q48+#REF!+Q49</f>
        <v>#REF!</v>
      </c>
      <c r="R50" s="1"/>
    </row>
    <row r="51" spans="2:18" ht="14.25" customHeight="1" x14ac:dyDescent="0.25">
      <c r="B51" s="197" t="s">
        <v>61</v>
      </c>
      <c r="C51" s="172" t="s">
        <v>77</v>
      </c>
      <c r="D51" s="31">
        <v>60</v>
      </c>
      <c r="E51" s="31"/>
      <c r="F51" s="31"/>
      <c r="G51" s="31"/>
      <c r="H51" s="32"/>
      <c r="I51" s="31"/>
      <c r="J51" s="147"/>
      <c r="K51" s="197" t="s">
        <v>61</v>
      </c>
      <c r="L51" s="172" t="s">
        <v>77</v>
      </c>
      <c r="M51" s="3">
        <v>100</v>
      </c>
      <c r="N51" s="3"/>
      <c r="O51" s="3"/>
      <c r="P51" s="3"/>
      <c r="Q51" s="6"/>
      <c r="R51" s="3"/>
    </row>
    <row r="52" spans="2:18" ht="14.25" customHeight="1" x14ac:dyDescent="0.25">
      <c r="B52" s="197"/>
      <c r="C52" s="168" t="s">
        <v>291</v>
      </c>
      <c r="D52" s="31">
        <v>200</v>
      </c>
      <c r="E52" s="31"/>
      <c r="F52" s="31"/>
      <c r="G52" s="31"/>
      <c r="H52" s="32"/>
      <c r="I52" s="31"/>
      <c r="J52" s="147"/>
      <c r="K52" s="197"/>
      <c r="L52" s="168" t="s">
        <v>291</v>
      </c>
      <c r="M52" s="3">
        <v>250</v>
      </c>
      <c r="N52" s="3"/>
      <c r="O52" s="3"/>
      <c r="P52" s="3"/>
      <c r="Q52" s="6"/>
      <c r="R52" s="3"/>
    </row>
    <row r="53" spans="2:18" ht="14.25" customHeight="1" x14ac:dyDescent="0.25">
      <c r="B53" s="197"/>
      <c r="C53" s="168" t="s">
        <v>78</v>
      </c>
      <c r="D53" s="31">
        <v>180</v>
      </c>
      <c r="E53" s="31"/>
      <c r="F53" s="31"/>
      <c r="G53" s="31"/>
      <c r="H53" s="32"/>
      <c r="I53" s="31"/>
      <c r="J53" s="147"/>
      <c r="K53" s="197"/>
      <c r="L53" s="168" t="s">
        <v>78</v>
      </c>
      <c r="M53" s="3">
        <v>200</v>
      </c>
      <c r="N53" s="31"/>
      <c r="O53" s="31"/>
      <c r="P53" s="31"/>
      <c r="Q53" s="32"/>
      <c r="R53" s="3"/>
    </row>
    <row r="54" spans="2:18" ht="14.25" customHeight="1" x14ac:dyDescent="0.25">
      <c r="B54" s="197"/>
      <c r="C54" s="168" t="s">
        <v>91</v>
      </c>
      <c r="D54" s="33">
        <v>200</v>
      </c>
      <c r="E54" s="33"/>
      <c r="F54" s="33"/>
      <c r="G54" s="33"/>
      <c r="H54" s="34"/>
      <c r="I54" s="31"/>
      <c r="J54" s="147"/>
      <c r="K54" s="197"/>
      <c r="L54" s="168" t="s">
        <v>91</v>
      </c>
      <c r="M54" s="33">
        <v>200</v>
      </c>
      <c r="N54" s="33"/>
      <c r="O54" s="33"/>
      <c r="P54" s="33"/>
      <c r="Q54" s="34"/>
      <c r="R54" s="3"/>
    </row>
    <row r="55" spans="2:18" ht="14.25" customHeight="1" x14ac:dyDescent="0.25">
      <c r="B55" s="197"/>
      <c r="C55" s="168" t="s">
        <v>4</v>
      </c>
      <c r="D55" s="31">
        <v>30</v>
      </c>
      <c r="E55" s="31"/>
      <c r="F55" s="31"/>
      <c r="G55" s="31"/>
      <c r="H55" s="32"/>
      <c r="I55" s="31"/>
      <c r="J55" s="147"/>
      <c r="K55" s="197"/>
      <c r="L55" s="168" t="s">
        <v>4</v>
      </c>
      <c r="M55" s="3">
        <v>30</v>
      </c>
      <c r="N55" s="3"/>
      <c r="O55" s="3"/>
      <c r="P55" s="3"/>
      <c r="Q55" s="6"/>
      <c r="R55" s="3"/>
    </row>
    <row r="56" spans="2:18" ht="14.25" customHeight="1" x14ac:dyDescent="0.25">
      <c r="B56" s="197"/>
      <c r="C56" s="168" t="s">
        <v>63</v>
      </c>
      <c r="D56" s="31">
        <v>40</v>
      </c>
      <c r="E56" s="32"/>
      <c r="F56" s="32"/>
      <c r="G56" s="32"/>
      <c r="H56" s="32"/>
      <c r="I56" s="33"/>
      <c r="J56" s="147"/>
      <c r="K56" s="197"/>
      <c r="L56" s="168" t="s">
        <v>63</v>
      </c>
      <c r="M56" s="3">
        <v>40</v>
      </c>
      <c r="N56" s="6"/>
      <c r="O56" s="6"/>
      <c r="P56" s="6"/>
      <c r="Q56" s="6"/>
      <c r="R56" s="1"/>
    </row>
    <row r="57" spans="2:18" ht="14.25" customHeight="1" x14ac:dyDescent="0.25">
      <c r="B57" s="187" t="s">
        <v>64</v>
      </c>
      <c r="C57" s="187"/>
      <c r="D57" s="170">
        <f>D51+D52+D53+D54+D55+D56</f>
        <v>710</v>
      </c>
      <c r="E57" s="170">
        <f t="shared" ref="E57:H57" si="4">E51+E52+E53+E54+E55+E56</f>
        <v>0</v>
      </c>
      <c r="F57" s="170">
        <f t="shared" si="4"/>
        <v>0</v>
      </c>
      <c r="G57" s="170">
        <f t="shared" si="4"/>
        <v>0</v>
      </c>
      <c r="H57" s="170">
        <f t="shared" si="4"/>
        <v>0</v>
      </c>
      <c r="I57" s="33"/>
      <c r="J57" s="147"/>
      <c r="K57" s="187" t="s">
        <v>64</v>
      </c>
      <c r="L57" s="187"/>
      <c r="M57" s="30">
        <f>M51+M52+M53+M54+M55+M56</f>
        <v>820</v>
      </c>
      <c r="N57" s="30">
        <f t="shared" ref="N57:Q57" si="5">N51+N52+N53+N54+N55+N56</f>
        <v>0</v>
      </c>
      <c r="O57" s="30">
        <f t="shared" si="5"/>
        <v>0</v>
      </c>
      <c r="P57" s="30">
        <f t="shared" si="5"/>
        <v>0</v>
      </c>
      <c r="Q57" s="30">
        <f t="shared" si="5"/>
        <v>0</v>
      </c>
      <c r="R57" s="1"/>
    </row>
    <row r="58" spans="2:18" ht="14.25" customHeight="1" x14ac:dyDescent="0.25">
      <c r="B58" s="187" t="s">
        <v>65</v>
      </c>
      <c r="C58" s="187"/>
      <c r="D58" s="170" t="e">
        <f>D50+D57</f>
        <v>#REF!</v>
      </c>
      <c r="E58" s="170" t="e">
        <f>E50+E57</f>
        <v>#REF!</v>
      </c>
      <c r="F58" s="170" t="e">
        <f>F50+F57</f>
        <v>#REF!</v>
      </c>
      <c r="G58" s="170" t="e">
        <f>G50+G57</f>
        <v>#REF!</v>
      </c>
      <c r="H58" s="170" t="e">
        <f>H50+H57</f>
        <v>#REF!</v>
      </c>
      <c r="I58" s="170"/>
      <c r="J58" s="147"/>
      <c r="K58" s="187" t="s">
        <v>65</v>
      </c>
      <c r="L58" s="187"/>
      <c r="M58" s="30" t="e">
        <f>M50+M57</f>
        <v>#REF!</v>
      </c>
      <c r="N58" s="30" t="e">
        <f>N50+N57</f>
        <v>#REF!</v>
      </c>
      <c r="O58" s="30" t="e">
        <f>O50+O57</f>
        <v>#REF!</v>
      </c>
      <c r="P58" s="30" t="e">
        <f>P50+P57</f>
        <v>#REF!</v>
      </c>
      <c r="Q58" s="30" t="e">
        <f>Q50+Q57</f>
        <v>#REF!</v>
      </c>
      <c r="R58" s="30"/>
    </row>
    <row r="59" spans="2:18" ht="14.25" customHeight="1" x14ac:dyDescent="0.25">
      <c r="B59" s="159" t="s">
        <v>69</v>
      </c>
      <c r="C59" s="160"/>
      <c r="D59" s="160"/>
      <c r="E59" s="160"/>
      <c r="F59" s="160"/>
      <c r="G59" s="160"/>
      <c r="H59" s="160"/>
      <c r="I59" s="161"/>
      <c r="J59" s="147"/>
      <c r="K59" s="159" t="s">
        <v>69</v>
      </c>
      <c r="L59" s="160"/>
      <c r="M59" s="126"/>
      <c r="N59" s="126"/>
      <c r="O59" s="126"/>
      <c r="P59" s="126"/>
      <c r="Q59" s="126"/>
      <c r="R59" s="127"/>
    </row>
    <row r="60" spans="2:18" ht="14.25" customHeight="1" x14ac:dyDescent="0.25">
      <c r="B60" s="194" t="s">
        <v>3</v>
      </c>
      <c r="C60" s="162" t="s">
        <v>111</v>
      </c>
      <c r="D60" s="33">
        <v>200</v>
      </c>
      <c r="E60" s="31"/>
      <c r="F60" s="31"/>
      <c r="G60" s="31"/>
      <c r="H60" s="31"/>
      <c r="I60" s="33"/>
      <c r="J60" s="147"/>
      <c r="K60" s="194" t="s">
        <v>3</v>
      </c>
      <c r="L60" s="162" t="s">
        <v>111</v>
      </c>
      <c r="M60" s="1">
        <v>200</v>
      </c>
      <c r="N60" s="3"/>
      <c r="O60" s="3"/>
      <c r="P60" s="3"/>
      <c r="Q60" s="3"/>
      <c r="R60" s="1"/>
    </row>
    <row r="61" spans="2:18" ht="14.25" customHeight="1" x14ac:dyDescent="0.25">
      <c r="B61" s="195"/>
      <c r="C61" s="33" t="s">
        <v>4</v>
      </c>
      <c r="D61" s="33">
        <v>30</v>
      </c>
      <c r="E61" s="33"/>
      <c r="F61" s="33"/>
      <c r="G61" s="33"/>
      <c r="H61" s="33"/>
      <c r="I61" s="33"/>
      <c r="J61" s="147"/>
      <c r="K61" s="195"/>
      <c r="L61" s="33" t="s">
        <v>4</v>
      </c>
      <c r="M61" s="1">
        <v>30</v>
      </c>
      <c r="N61" s="1"/>
      <c r="O61" s="1"/>
      <c r="P61" s="1"/>
      <c r="Q61" s="1"/>
      <c r="R61" s="1"/>
    </row>
    <row r="62" spans="2:18" ht="14.25" customHeight="1" x14ac:dyDescent="0.25">
      <c r="B62" s="195"/>
      <c r="C62" s="168" t="s">
        <v>92</v>
      </c>
      <c r="D62" s="31">
        <v>200</v>
      </c>
      <c r="E62" s="31"/>
      <c r="F62" s="31"/>
      <c r="G62" s="31"/>
      <c r="H62" s="31"/>
      <c r="I62" s="31"/>
      <c r="J62" s="147"/>
      <c r="K62" s="195"/>
      <c r="L62" s="168" t="s">
        <v>92</v>
      </c>
      <c r="M62" s="3">
        <v>200</v>
      </c>
      <c r="N62" s="3"/>
      <c r="O62" s="3"/>
      <c r="P62" s="3"/>
      <c r="Q62" s="3"/>
      <c r="R62" s="3"/>
    </row>
    <row r="63" spans="2:18" ht="14.25" customHeight="1" x14ac:dyDescent="0.25">
      <c r="B63" s="195"/>
      <c r="C63" s="143" t="s">
        <v>14</v>
      </c>
      <c r="D63" s="33">
        <v>100</v>
      </c>
      <c r="E63" s="168">
        <v>0.27</v>
      </c>
      <c r="F63" s="168">
        <v>0.27</v>
      </c>
      <c r="G63" s="168">
        <v>6.53</v>
      </c>
      <c r="H63" s="32">
        <v>31.33</v>
      </c>
      <c r="I63" s="33"/>
      <c r="J63" s="147"/>
      <c r="K63" s="195"/>
      <c r="L63" s="143" t="s">
        <v>14</v>
      </c>
      <c r="M63" s="1">
        <v>100</v>
      </c>
      <c r="N63" s="2">
        <v>0.27</v>
      </c>
      <c r="O63" s="2">
        <v>0.27</v>
      </c>
      <c r="P63" s="2">
        <v>6.53</v>
      </c>
      <c r="Q63" s="6">
        <v>31.33</v>
      </c>
      <c r="R63" s="1"/>
    </row>
    <row r="64" spans="2:18" ht="14.25" customHeight="1" x14ac:dyDescent="0.25">
      <c r="B64" s="187" t="s">
        <v>6</v>
      </c>
      <c r="C64" s="187"/>
      <c r="D64" s="170">
        <f>SUM(D60:D63)</f>
        <v>530</v>
      </c>
      <c r="E64" s="170">
        <f>SUM(E60:E63)</f>
        <v>0.27</v>
      </c>
      <c r="F64" s="170">
        <f>SUM(F60:F63)</f>
        <v>0.27</v>
      </c>
      <c r="G64" s="170">
        <f>SUM(G60:G63)</f>
        <v>6.53</v>
      </c>
      <c r="H64" s="170">
        <f>SUM(H60:H63)</f>
        <v>31.33</v>
      </c>
      <c r="I64" s="33"/>
      <c r="J64" s="147"/>
      <c r="K64" s="187" t="s">
        <v>6</v>
      </c>
      <c r="L64" s="187"/>
      <c r="M64" s="30">
        <f>SUM(M60:M63)</f>
        <v>530</v>
      </c>
      <c r="N64" s="30">
        <f>SUM(N60:N63)</f>
        <v>0.27</v>
      </c>
      <c r="O64" s="30">
        <f>SUM(O60:O63)</f>
        <v>0.27</v>
      </c>
      <c r="P64" s="30">
        <f>SUM(P60:P63)</f>
        <v>6.53</v>
      </c>
      <c r="Q64" s="30">
        <f>SUM(Q60:Q63)</f>
        <v>31.33</v>
      </c>
      <c r="R64" s="1"/>
    </row>
    <row r="65" spans="2:18" ht="14.25" customHeight="1" x14ac:dyDescent="0.25">
      <c r="B65" s="194" t="s">
        <v>61</v>
      </c>
      <c r="C65" s="168" t="s">
        <v>93</v>
      </c>
      <c r="D65" s="31">
        <v>60</v>
      </c>
      <c r="E65" s="31"/>
      <c r="F65" s="31"/>
      <c r="G65" s="31"/>
      <c r="H65" s="32"/>
      <c r="I65" s="31"/>
      <c r="J65" s="147"/>
      <c r="K65" s="194" t="s">
        <v>61</v>
      </c>
      <c r="L65" s="168" t="s">
        <v>93</v>
      </c>
      <c r="M65" s="3">
        <v>60</v>
      </c>
      <c r="N65" s="3"/>
      <c r="O65" s="3"/>
      <c r="P65" s="3"/>
      <c r="Q65" s="6"/>
      <c r="R65" s="3"/>
    </row>
    <row r="66" spans="2:18" ht="14.25" customHeight="1" x14ac:dyDescent="0.25">
      <c r="B66" s="195"/>
      <c r="C66" s="168" t="s">
        <v>290</v>
      </c>
      <c r="D66" s="31">
        <v>200</v>
      </c>
      <c r="E66" s="31"/>
      <c r="F66" s="31"/>
      <c r="G66" s="31"/>
      <c r="H66" s="32"/>
      <c r="I66" s="31"/>
      <c r="J66" s="147"/>
      <c r="K66" s="195"/>
      <c r="L66" s="168" t="s">
        <v>290</v>
      </c>
      <c r="M66" s="3">
        <v>200</v>
      </c>
      <c r="N66" s="3"/>
      <c r="O66" s="3"/>
      <c r="P66" s="3"/>
      <c r="Q66" s="6"/>
      <c r="R66" s="3"/>
    </row>
    <row r="67" spans="2:18" ht="14.25" customHeight="1" x14ac:dyDescent="0.25">
      <c r="B67" s="195"/>
      <c r="C67" s="168" t="s">
        <v>169</v>
      </c>
      <c r="D67" s="31">
        <v>180</v>
      </c>
      <c r="E67" s="31"/>
      <c r="F67" s="31"/>
      <c r="G67" s="31"/>
      <c r="H67" s="32"/>
      <c r="I67" s="31"/>
      <c r="J67" s="147"/>
      <c r="K67" s="195"/>
      <c r="L67" s="168" t="s">
        <v>169</v>
      </c>
      <c r="M67" s="3">
        <v>200</v>
      </c>
      <c r="N67" s="3"/>
      <c r="O67" s="3"/>
      <c r="P67" s="3"/>
      <c r="Q67" s="6"/>
      <c r="R67" s="3"/>
    </row>
    <row r="68" spans="2:18" ht="14.25" customHeight="1" x14ac:dyDescent="0.25">
      <c r="B68" s="195"/>
      <c r="C68" s="168" t="s">
        <v>81</v>
      </c>
      <c r="D68" s="31">
        <v>200</v>
      </c>
      <c r="E68" s="31"/>
      <c r="F68" s="31"/>
      <c r="G68" s="31"/>
      <c r="H68" s="32"/>
      <c r="I68" s="31"/>
      <c r="J68" s="147"/>
      <c r="K68" s="195"/>
      <c r="L68" s="168" t="s">
        <v>81</v>
      </c>
      <c r="M68" s="3">
        <v>200</v>
      </c>
      <c r="N68" s="3"/>
      <c r="O68" s="3"/>
      <c r="P68" s="3"/>
      <c r="Q68" s="6"/>
      <c r="R68" s="3"/>
    </row>
    <row r="69" spans="2:18" ht="14.25" customHeight="1" x14ac:dyDescent="0.25">
      <c r="B69" s="195"/>
      <c r="C69" s="168" t="s">
        <v>4</v>
      </c>
      <c r="D69" s="31">
        <v>30</v>
      </c>
      <c r="E69" s="31"/>
      <c r="F69" s="31"/>
      <c r="G69" s="31"/>
      <c r="H69" s="32"/>
      <c r="I69" s="33"/>
      <c r="J69" s="147"/>
      <c r="K69" s="195"/>
      <c r="L69" s="168" t="s">
        <v>4</v>
      </c>
      <c r="M69" s="3">
        <v>30</v>
      </c>
      <c r="N69" s="3"/>
      <c r="O69" s="3"/>
      <c r="P69" s="3"/>
      <c r="Q69" s="6"/>
      <c r="R69" s="1"/>
    </row>
    <row r="70" spans="2:18" ht="14.25" customHeight="1" x14ac:dyDescent="0.25">
      <c r="B70" s="196"/>
      <c r="C70" s="168" t="s">
        <v>63</v>
      </c>
      <c r="D70" s="31">
        <v>40</v>
      </c>
      <c r="E70" s="32"/>
      <c r="F70" s="32"/>
      <c r="G70" s="32"/>
      <c r="H70" s="32"/>
      <c r="I70" s="33"/>
      <c r="J70" s="147"/>
      <c r="K70" s="196"/>
      <c r="L70" s="168" t="s">
        <v>63</v>
      </c>
      <c r="M70" s="3">
        <v>40</v>
      </c>
      <c r="N70" s="6"/>
      <c r="O70" s="6"/>
      <c r="P70" s="6"/>
      <c r="Q70" s="6"/>
      <c r="R70" s="1"/>
    </row>
    <row r="71" spans="2:18" ht="14.25" customHeight="1" x14ac:dyDescent="0.25">
      <c r="B71" s="187" t="s">
        <v>64</v>
      </c>
      <c r="C71" s="187"/>
      <c r="D71" s="170">
        <f>D65+D66+D67+D68+D69+D70</f>
        <v>710</v>
      </c>
      <c r="E71" s="170">
        <f t="shared" ref="E71:H71" si="6">E65+E66+E67+E68+E69+E70</f>
        <v>0</v>
      </c>
      <c r="F71" s="170">
        <f t="shared" si="6"/>
        <v>0</v>
      </c>
      <c r="G71" s="170">
        <f t="shared" si="6"/>
        <v>0</v>
      </c>
      <c r="H71" s="170">
        <f t="shared" si="6"/>
        <v>0</v>
      </c>
      <c r="I71" s="33"/>
      <c r="J71" s="147"/>
      <c r="K71" s="187" t="s">
        <v>64</v>
      </c>
      <c r="L71" s="187"/>
      <c r="M71" s="30">
        <f>M65+M66+M67+M68+M69+M70</f>
        <v>730</v>
      </c>
      <c r="N71" s="30">
        <f t="shared" ref="N71:Q71" si="7">N65+N66+N67+N68+N69+N70</f>
        <v>0</v>
      </c>
      <c r="O71" s="30">
        <f t="shared" si="7"/>
        <v>0</v>
      </c>
      <c r="P71" s="30">
        <f t="shared" si="7"/>
        <v>0</v>
      </c>
      <c r="Q71" s="30">
        <f t="shared" si="7"/>
        <v>0</v>
      </c>
      <c r="R71" s="1"/>
    </row>
    <row r="72" spans="2:18" ht="14.25" customHeight="1" x14ac:dyDescent="0.25">
      <c r="B72" s="187" t="s">
        <v>65</v>
      </c>
      <c r="C72" s="187"/>
      <c r="D72" s="170">
        <f>D64+D71</f>
        <v>1240</v>
      </c>
      <c r="E72" s="170">
        <f>E64+E71</f>
        <v>0.27</v>
      </c>
      <c r="F72" s="170">
        <f>F64+F71</f>
        <v>0.27</v>
      </c>
      <c r="G72" s="170">
        <f>G64+G71</f>
        <v>6.53</v>
      </c>
      <c r="H72" s="170">
        <f>H64+H71</f>
        <v>31.33</v>
      </c>
      <c r="I72" s="170"/>
      <c r="J72" s="147"/>
      <c r="K72" s="187" t="s">
        <v>65</v>
      </c>
      <c r="L72" s="187"/>
      <c r="M72" s="30">
        <f>M64+M71</f>
        <v>1260</v>
      </c>
      <c r="N72" s="30">
        <f>N64+N71</f>
        <v>0.27</v>
      </c>
      <c r="O72" s="30">
        <f>O64+O71</f>
        <v>0.27</v>
      </c>
      <c r="P72" s="30">
        <f>P64+P71</f>
        <v>6.53</v>
      </c>
      <c r="Q72" s="30">
        <f>Q64+Q71</f>
        <v>31.33</v>
      </c>
      <c r="R72" s="30"/>
    </row>
    <row r="73" spans="2:18" ht="14.25" customHeight="1" x14ac:dyDescent="0.25">
      <c r="B73" s="159" t="s">
        <v>71</v>
      </c>
      <c r="C73" s="160"/>
      <c r="D73" s="160"/>
      <c r="E73" s="160"/>
      <c r="F73" s="160"/>
      <c r="G73" s="160"/>
      <c r="H73" s="160"/>
      <c r="I73" s="161"/>
      <c r="J73" s="147"/>
      <c r="K73" s="159" t="s">
        <v>71</v>
      </c>
      <c r="L73" s="160"/>
      <c r="M73" s="126"/>
      <c r="N73" s="126"/>
      <c r="O73" s="126"/>
      <c r="P73" s="126"/>
      <c r="Q73" s="126"/>
      <c r="R73" s="127"/>
    </row>
    <row r="74" spans="2:18" ht="14.25" customHeight="1" x14ac:dyDescent="0.25">
      <c r="B74" s="198" t="s">
        <v>3</v>
      </c>
      <c r="C74" s="172" t="s">
        <v>94</v>
      </c>
      <c r="D74" s="31">
        <v>200</v>
      </c>
      <c r="E74" s="34"/>
      <c r="F74" s="34"/>
      <c r="G74" s="34"/>
      <c r="H74" s="34"/>
      <c r="I74" s="33"/>
      <c r="J74" s="147"/>
      <c r="K74" s="198" t="s">
        <v>3</v>
      </c>
      <c r="L74" s="172" t="s">
        <v>94</v>
      </c>
      <c r="M74" s="3">
        <v>200</v>
      </c>
      <c r="N74" s="34"/>
      <c r="O74" s="34"/>
      <c r="P74" s="34"/>
      <c r="Q74" s="34"/>
      <c r="R74" s="1"/>
    </row>
    <row r="75" spans="2:18" ht="14.25" customHeight="1" x14ac:dyDescent="0.25">
      <c r="B75" s="199"/>
      <c r="C75" s="168" t="s">
        <v>95</v>
      </c>
      <c r="D75" s="31">
        <v>60</v>
      </c>
      <c r="E75" s="32"/>
      <c r="F75" s="32"/>
      <c r="G75" s="32"/>
      <c r="H75" s="32"/>
      <c r="I75" s="33"/>
      <c r="J75" s="147"/>
      <c r="K75" s="199"/>
      <c r="L75" s="168" t="s">
        <v>95</v>
      </c>
      <c r="M75" s="3">
        <v>60</v>
      </c>
      <c r="N75" s="6"/>
      <c r="O75" s="6"/>
      <c r="P75" s="6"/>
      <c r="Q75" s="6"/>
      <c r="R75" s="1"/>
    </row>
    <row r="76" spans="2:18" ht="14.25" customHeight="1" x14ac:dyDescent="0.25">
      <c r="B76" s="199"/>
      <c r="C76" s="168" t="s">
        <v>5</v>
      </c>
      <c r="D76" s="31">
        <v>200</v>
      </c>
      <c r="E76" s="31"/>
      <c r="F76" s="31"/>
      <c r="G76" s="31"/>
      <c r="H76" s="32"/>
      <c r="I76" s="33"/>
      <c r="J76" s="147"/>
      <c r="K76" s="199"/>
      <c r="L76" s="168" t="s">
        <v>5</v>
      </c>
      <c r="M76" s="3">
        <v>200</v>
      </c>
      <c r="N76" s="3"/>
      <c r="O76" s="3"/>
      <c r="P76" s="3"/>
      <c r="Q76" s="6"/>
      <c r="R76" s="1"/>
    </row>
    <row r="77" spans="2:18" ht="14.25" customHeight="1" x14ac:dyDescent="0.25">
      <c r="B77" s="199"/>
      <c r="C77" s="143" t="s">
        <v>14</v>
      </c>
      <c r="D77" s="33">
        <v>100</v>
      </c>
      <c r="E77" s="168">
        <v>0.27</v>
      </c>
      <c r="F77" s="168">
        <v>0.27</v>
      </c>
      <c r="G77" s="168">
        <v>6.53</v>
      </c>
      <c r="H77" s="32">
        <v>31.33</v>
      </c>
      <c r="I77" s="33"/>
      <c r="J77" s="147"/>
      <c r="K77" s="199"/>
      <c r="L77" s="143" t="s">
        <v>14</v>
      </c>
      <c r="M77" s="1">
        <v>100</v>
      </c>
      <c r="N77" s="2">
        <v>0.27</v>
      </c>
      <c r="O77" s="2">
        <v>0.27</v>
      </c>
      <c r="P77" s="2">
        <v>6.53</v>
      </c>
      <c r="Q77" s="6">
        <v>31.33</v>
      </c>
      <c r="R77" s="1"/>
    </row>
    <row r="78" spans="2:18" ht="14.25" customHeight="1" x14ac:dyDescent="0.25">
      <c r="B78" s="200"/>
      <c r="C78" s="168" t="s">
        <v>15</v>
      </c>
      <c r="D78" s="33">
        <v>200</v>
      </c>
      <c r="E78" s="168">
        <v>5.8</v>
      </c>
      <c r="F78" s="168">
        <v>6.4</v>
      </c>
      <c r="G78" s="168">
        <v>9.4</v>
      </c>
      <c r="H78" s="32">
        <v>120</v>
      </c>
      <c r="I78" s="33"/>
      <c r="J78" s="147"/>
      <c r="K78" s="200"/>
      <c r="L78" s="168" t="s">
        <v>15</v>
      </c>
      <c r="M78" s="1">
        <v>200</v>
      </c>
      <c r="N78" s="2">
        <v>5.8</v>
      </c>
      <c r="O78" s="2">
        <v>6.4</v>
      </c>
      <c r="P78" s="2">
        <v>9.4</v>
      </c>
      <c r="Q78" s="6">
        <v>120</v>
      </c>
      <c r="R78" s="1"/>
    </row>
    <row r="79" spans="2:18" ht="14.25" customHeight="1" x14ac:dyDescent="0.25">
      <c r="B79" s="187" t="s">
        <v>6</v>
      </c>
      <c r="C79" s="187"/>
      <c r="D79" s="170" t="e">
        <f>D75+D76+D77+#REF!+D78+230</f>
        <v>#REF!</v>
      </c>
      <c r="E79" s="170" t="e">
        <f>E74+E75+E76+E77+#REF!+E78</f>
        <v>#REF!</v>
      </c>
      <c r="F79" s="170" t="e">
        <f>F74+F75+F76+F77+#REF!+F78</f>
        <v>#REF!</v>
      </c>
      <c r="G79" s="170" t="e">
        <f>G74+G75+G76+G77+#REF!+G78</f>
        <v>#REF!</v>
      </c>
      <c r="H79" s="170" t="e">
        <f>H74+H75+H76+H77+#REF!+H78</f>
        <v>#REF!</v>
      </c>
      <c r="I79" s="33"/>
      <c r="J79" s="147"/>
      <c r="K79" s="187" t="s">
        <v>6</v>
      </c>
      <c r="L79" s="187"/>
      <c r="M79" s="30" t="e">
        <f>M75+M76+M77+#REF!+M78+230</f>
        <v>#REF!</v>
      </c>
      <c r="N79" s="30" t="e">
        <f>N74+N75+N76+N77+#REF!+N78</f>
        <v>#REF!</v>
      </c>
      <c r="O79" s="30" t="e">
        <f>O74+O75+O76+O77+#REF!+O78</f>
        <v>#REF!</v>
      </c>
      <c r="P79" s="30" t="e">
        <f>P74+P75+P76+P77+#REF!+P78</f>
        <v>#REF!</v>
      </c>
      <c r="Q79" s="30" t="e">
        <f>Q74+Q75+Q76+Q77+#REF!+Q78</f>
        <v>#REF!</v>
      </c>
      <c r="R79" s="1"/>
    </row>
    <row r="80" spans="2:18" ht="14.25" customHeight="1" x14ac:dyDescent="0.25">
      <c r="B80" s="187" t="s">
        <v>61</v>
      </c>
      <c r="C80" s="168" t="s">
        <v>67</v>
      </c>
      <c r="D80" s="31">
        <v>60</v>
      </c>
      <c r="E80" s="31"/>
      <c r="F80" s="31"/>
      <c r="G80" s="31"/>
      <c r="H80" s="32"/>
      <c r="I80" s="31"/>
      <c r="J80" s="147"/>
      <c r="K80" s="187" t="s">
        <v>61</v>
      </c>
      <c r="L80" s="168" t="s">
        <v>67</v>
      </c>
      <c r="M80" s="3">
        <v>100</v>
      </c>
      <c r="N80" s="3"/>
      <c r="O80" s="3"/>
      <c r="P80" s="3"/>
      <c r="Q80" s="6"/>
      <c r="R80" s="3"/>
    </row>
    <row r="81" spans="2:18" ht="14.25" customHeight="1" x14ac:dyDescent="0.25">
      <c r="B81" s="187"/>
      <c r="C81" s="168" t="s">
        <v>101</v>
      </c>
      <c r="D81" s="31">
        <v>200</v>
      </c>
      <c r="E81" s="31"/>
      <c r="F81" s="31"/>
      <c r="G81" s="31"/>
      <c r="H81" s="32"/>
      <c r="I81" s="31"/>
      <c r="J81" s="147"/>
      <c r="K81" s="187"/>
      <c r="L81" s="168" t="s">
        <v>101</v>
      </c>
      <c r="M81" s="3">
        <v>250</v>
      </c>
      <c r="N81" s="3"/>
      <c r="O81" s="3"/>
      <c r="P81" s="3"/>
      <c r="Q81" s="6"/>
      <c r="R81" s="3"/>
    </row>
    <row r="82" spans="2:18" ht="14.25" customHeight="1" x14ac:dyDescent="0.25">
      <c r="B82" s="187"/>
      <c r="C82" s="168" t="s">
        <v>73</v>
      </c>
      <c r="D82" s="31">
        <v>150</v>
      </c>
      <c r="E82" s="31"/>
      <c r="F82" s="31"/>
      <c r="G82" s="31"/>
      <c r="H82" s="32"/>
      <c r="I82" s="31"/>
      <c r="J82" s="147"/>
      <c r="K82" s="187"/>
      <c r="L82" s="168" t="s">
        <v>73</v>
      </c>
      <c r="M82" s="3">
        <v>180</v>
      </c>
      <c r="N82" s="3"/>
      <c r="O82" s="3"/>
      <c r="P82" s="3"/>
      <c r="Q82" s="6"/>
      <c r="R82" s="3"/>
    </row>
    <row r="83" spans="2:18" ht="14.25" customHeight="1" x14ac:dyDescent="0.25">
      <c r="B83" s="187"/>
      <c r="C83" s="168" t="s">
        <v>96</v>
      </c>
      <c r="D83" s="31">
        <v>90</v>
      </c>
      <c r="E83" s="31"/>
      <c r="F83" s="31"/>
      <c r="G83" s="31"/>
      <c r="H83" s="32"/>
      <c r="I83" s="173"/>
      <c r="J83" s="147"/>
      <c r="K83" s="187"/>
      <c r="L83" s="168" t="s">
        <v>96</v>
      </c>
      <c r="M83" s="3">
        <v>100</v>
      </c>
      <c r="N83" s="3"/>
      <c r="O83" s="3"/>
      <c r="P83" s="3"/>
      <c r="Q83" s="6"/>
      <c r="R83" s="37"/>
    </row>
    <row r="84" spans="2:18" ht="27.75" customHeight="1" x14ac:dyDescent="0.25">
      <c r="B84" s="187"/>
      <c r="C84" s="168" t="s">
        <v>292</v>
      </c>
      <c r="D84" s="31">
        <v>200</v>
      </c>
      <c r="E84" s="31"/>
      <c r="F84" s="31"/>
      <c r="G84" s="31"/>
      <c r="H84" s="32"/>
      <c r="I84" s="31"/>
      <c r="J84" s="147"/>
      <c r="K84" s="187"/>
      <c r="L84" s="168" t="s">
        <v>292</v>
      </c>
      <c r="M84" s="3">
        <v>200</v>
      </c>
      <c r="N84" s="3"/>
      <c r="O84" s="3"/>
      <c r="P84" s="3"/>
      <c r="Q84" s="6"/>
      <c r="R84" s="3"/>
    </row>
    <row r="85" spans="2:18" ht="14.25" customHeight="1" x14ac:dyDescent="0.25">
      <c r="B85" s="187"/>
      <c r="C85" s="168" t="s">
        <v>4</v>
      </c>
      <c r="D85" s="31">
        <v>30</v>
      </c>
      <c r="E85" s="31"/>
      <c r="F85" s="31"/>
      <c r="G85" s="31"/>
      <c r="H85" s="32"/>
      <c r="I85" s="31"/>
      <c r="J85" s="147"/>
      <c r="K85" s="187"/>
      <c r="L85" s="168" t="s">
        <v>4</v>
      </c>
      <c r="M85" s="3">
        <v>30</v>
      </c>
      <c r="N85" s="3"/>
      <c r="O85" s="3"/>
      <c r="P85" s="3"/>
      <c r="Q85" s="6"/>
      <c r="R85" s="3"/>
    </row>
    <row r="86" spans="2:18" ht="14.25" customHeight="1" x14ac:dyDescent="0.25">
      <c r="B86" s="187"/>
      <c r="C86" s="168" t="s">
        <v>63</v>
      </c>
      <c r="D86" s="31">
        <v>40</v>
      </c>
      <c r="E86" s="32"/>
      <c r="F86" s="32"/>
      <c r="G86" s="32"/>
      <c r="H86" s="32"/>
      <c r="I86" s="174"/>
      <c r="J86" s="147"/>
      <c r="K86" s="187"/>
      <c r="L86" s="168" t="s">
        <v>63</v>
      </c>
      <c r="M86" s="3">
        <v>40</v>
      </c>
      <c r="N86" s="6"/>
      <c r="O86" s="6"/>
      <c r="P86" s="6"/>
      <c r="Q86" s="6"/>
      <c r="R86" s="38"/>
    </row>
    <row r="87" spans="2:18" ht="14.25" customHeight="1" x14ac:dyDescent="0.25">
      <c r="B87" s="187" t="s">
        <v>64</v>
      </c>
      <c r="C87" s="187"/>
      <c r="D87" s="170">
        <f>D80+D81+D82+D83+D84+D85+D86</f>
        <v>770</v>
      </c>
      <c r="E87" s="170">
        <f t="shared" ref="E87:H87" si="8">E80+E81+E82+E83+E84+E85+E86</f>
        <v>0</v>
      </c>
      <c r="F87" s="170">
        <f t="shared" si="8"/>
        <v>0</v>
      </c>
      <c r="G87" s="170">
        <f t="shared" si="8"/>
        <v>0</v>
      </c>
      <c r="H87" s="170">
        <f t="shared" si="8"/>
        <v>0</v>
      </c>
      <c r="I87" s="33"/>
      <c r="J87" s="147"/>
      <c r="K87" s="187" t="s">
        <v>64</v>
      </c>
      <c r="L87" s="187"/>
      <c r="M87" s="30">
        <f>M80+M81+M82+M83+M84+M85+M86</f>
        <v>900</v>
      </c>
      <c r="N87" s="30">
        <f t="shared" ref="N87:Q87" si="9">N80+N81+N82+N83+N84+N85+N86</f>
        <v>0</v>
      </c>
      <c r="O87" s="30">
        <f t="shared" si="9"/>
        <v>0</v>
      </c>
      <c r="P87" s="30">
        <f t="shared" si="9"/>
        <v>0</v>
      </c>
      <c r="Q87" s="30">
        <f t="shared" si="9"/>
        <v>0</v>
      </c>
      <c r="R87" s="1"/>
    </row>
    <row r="88" spans="2:18" ht="14.25" customHeight="1" x14ac:dyDescent="0.25">
      <c r="B88" s="187" t="s">
        <v>65</v>
      </c>
      <c r="C88" s="187"/>
      <c r="D88" s="170" t="e">
        <f>D79+D87</f>
        <v>#REF!</v>
      </c>
      <c r="E88" s="170" t="e">
        <f t="shared" ref="E88:H88" si="10">E79+E87</f>
        <v>#REF!</v>
      </c>
      <c r="F88" s="170" t="e">
        <f t="shared" si="10"/>
        <v>#REF!</v>
      </c>
      <c r="G88" s="170" t="e">
        <f t="shared" si="10"/>
        <v>#REF!</v>
      </c>
      <c r="H88" s="170" t="e">
        <f t="shared" si="10"/>
        <v>#REF!</v>
      </c>
      <c r="I88" s="170"/>
      <c r="J88" s="147"/>
      <c r="K88" s="187" t="s">
        <v>65</v>
      </c>
      <c r="L88" s="187"/>
      <c r="M88" s="30" t="e">
        <f>M79+M87</f>
        <v>#REF!</v>
      </c>
      <c r="N88" s="30" t="e">
        <f t="shared" ref="N88:Q88" si="11">N79+N87</f>
        <v>#REF!</v>
      </c>
      <c r="O88" s="30" t="e">
        <f t="shared" si="11"/>
        <v>#REF!</v>
      </c>
      <c r="P88" s="30" t="e">
        <f t="shared" si="11"/>
        <v>#REF!</v>
      </c>
      <c r="Q88" s="30" t="e">
        <f t="shared" si="11"/>
        <v>#REF!</v>
      </c>
      <c r="R88" s="30"/>
    </row>
    <row r="89" spans="2:18" ht="14.25" customHeight="1" x14ac:dyDescent="0.25">
      <c r="B89" s="159" t="s">
        <v>75</v>
      </c>
      <c r="C89" s="160"/>
      <c r="D89" s="160"/>
      <c r="E89" s="160"/>
      <c r="F89" s="160"/>
      <c r="G89" s="160"/>
      <c r="H89" s="160"/>
      <c r="I89" s="161"/>
      <c r="J89" s="147"/>
      <c r="K89" s="159" t="s">
        <v>75</v>
      </c>
      <c r="L89" s="160"/>
      <c r="M89" s="126"/>
      <c r="N89" s="126"/>
      <c r="O89" s="126"/>
      <c r="P89" s="126"/>
      <c r="Q89" s="126"/>
      <c r="R89" s="127"/>
    </row>
    <row r="90" spans="2:18" ht="14.25" customHeight="1" x14ac:dyDescent="0.25">
      <c r="B90" s="194" t="s">
        <v>3</v>
      </c>
      <c r="C90" s="175" t="s">
        <v>121</v>
      </c>
      <c r="D90" s="39">
        <v>200</v>
      </c>
      <c r="E90" s="34"/>
      <c r="F90" s="34"/>
      <c r="G90" s="39"/>
      <c r="H90" s="34"/>
      <c r="I90" s="33"/>
      <c r="J90" s="147"/>
      <c r="K90" s="194" t="s">
        <v>3</v>
      </c>
      <c r="L90" s="175" t="s">
        <v>121</v>
      </c>
      <c r="M90" s="39">
        <v>200</v>
      </c>
      <c r="N90" s="34"/>
      <c r="O90" s="34"/>
      <c r="P90" s="39"/>
      <c r="Q90" s="34"/>
      <c r="R90" s="1"/>
    </row>
    <row r="91" spans="2:18" ht="14.25" customHeight="1" x14ac:dyDescent="0.25">
      <c r="B91" s="195"/>
      <c r="C91" s="162" t="s">
        <v>4</v>
      </c>
      <c r="D91" s="33">
        <v>30</v>
      </c>
      <c r="E91" s="33"/>
      <c r="F91" s="33"/>
      <c r="G91" s="33"/>
      <c r="H91" s="33"/>
      <c r="I91" s="33"/>
      <c r="J91" s="147"/>
      <c r="K91" s="195"/>
      <c r="L91" s="162" t="s">
        <v>4</v>
      </c>
      <c r="M91" s="1">
        <v>30</v>
      </c>
      <c r="N91" s="1"/>
      <c r="O91" s="1"/>
      <c r="P91" s="1"/>
      <c r="Q91" s="1"/>
      <c r="R91" s="1"/>
    </row>
    <row r="92" spans="2:18" ht="14.25" customHeight="1" x14ac:dyDescent="0.25">
      <c r="B92" s="195"/>
      <c r="C92" s="168" t="s">
        <v>89</v>
      </c>
      <c r="D92" s="31">
        <v>200</v>
      </c>
      <c r="E92" s="31"/>
      <c r="F92" s="31"/>
      <c r="G92" s="31"/>
      <c r="H92" s="31"/>
      <c r="I92" s="31"/>
      <c r="J92" s="147"/>
      <c r="K92" s="195"/>
      <c r="L92" s="168" t="s">
        <v>89</v>
      </c>
      <c r="M92" s="3">
        <v>200</v>
      </c>
      <c r="N92" s="3"/>
      <c r="O92" s="3"/>
      <c r="P92" s="3"/>
      <c r="Q92" s="3"/>
      <c r="R92" s="3"/>
    </row>
    <row r="93" spans="2:18" ht="14.25" customHeight="1" x14ac:dyDescent="0.25">
      <c r="B93" s="195"/>
      <c r="C93" s="143" t="s">
        <v>14</v>
      </c>
      <c r="D93" s="33">
        <v>100</v>
      </c>
      <c r="E93" s="168">
        <v>0.27</v>
      </c>
      <c r="F93" s="168">
        <v>0.27</v>
      </c>
      <c r="G93" s="168">
        <v>6.53</v>
      </c>
      <c r="H93" s="32">
        <v>31.33</v>
      </c>
      <c r="I93" s="33"/>
      <c r="J93" s="147"/>
      <c r="K93" s="195"/>
      <c r="L93" s="143" t="s">
        <v>14</v>
      </c>
      <c r="M93" s="1">
        <v>100</v>
      </c>
      <c r="N93" s="2">
        <v>0.27</v>
      </c>
      <c r="O93" s="2">
        <v>0.27</v>
      </c>
      <c r="P93" s="2">
        <v>6.53</v>
      </c>
      <c r="Q93" s="6">
        <v>31.33</v>
      </c>
      <c r="R93" s="1"/>
    </row>
    <row r="94" spans="2:18" ht="14.25" customHeight="1" x14ac:dyDescent="0.25">
      <c r="B94" s="196"/>
      <c r="C94" s="168" t="s">
        <v>15</v>
      </c>
      <c r="D94" s="33">
        <v>200</v>
      </c>
      <c r="E94" s="168">
        <v>5.8</v>
      </c>
      <c r="F94" s="168">
        <v>6.4</v>
      </c>
      <c r="G94" s="168">
        <v>9.4</v>
      </c>
      <c r="H94" s="32">
        <v>120</v>
      </c>
      <c r="I94" s="33"/>
      <c r="J94" s="147"/>
      <c r="K94" s="196"/>
      <c r="L94" s="168" t="s">
        <v>15</v>
      </c>
      <c r="M94" s="1">
        <v>200</v>
      </c>
      <c r="N94" s="2">
        <v>5.8</v>
      </c>
      <c r="O94" s="2">
        <v>6.4</v>
      </c>
      <c r="P94" s="2">
        <v>9.4</v>
      </c>
      <c r="Q94" s="6">
        <v>120</v>
      </c>
      <c r="R94" s="1"/>
    </row>
    <row r="95" spans="2:18" ht="14.25" customHeight="1" x14ac:dyDescent="0.25">
      <c r="B95" s="187" t="s">
        <v>6</v>
      </c>
      <c r="C95" s="187"/>
      <c r="D95" s="170" t="e">
        <f>D90+D91+D92+D93+#REF!+D94</f>
        <v>#REF!</v>
      </c>
      <c r="E95" s="170" t="e">
        <f>E90+E91+E92+E93+#REF!+E94</f>
        <v>#REF!</v>
      </c>
      <c r="F95" s="170" t="e">
        <f>F90+F91+F92+F93+#REF!+F94</f>
        <v>#REF!</v>
      </c>
      <c r="G95" s="170" t="e">
        <f>G90+G91+G92+G93+#REF!+G94</f>
        <v>#REF!</v>
      </c>
      <c r="H95" s="170" t="e">
        <f>H90+H91+H92+H93+#REF!+H94</f>
        <v>#REF!</v>
      </c>
      <c r="I95" s="33"/>
      <c r="J95" s="147"/>
      <c r="K95" s="187" t="s">
        <v>6</v>
      </c>
      <c r="L95" s="187"/>
      <c r="M95" s="30" t="e">
        <f>M90+M91+M92+M93+#REF!+M94</f>
        <v>#REF!</v>
      </c>
      <c r="N95" s="30" t="e">
        <f>N90+N91+N92+N93+#REF!+N94</f>
        <v>#REF!</v>
      </c>
      <c r="O95" s="30" t="e">
        <f>O90+O91+O92+O93+#REF!+O94</f>
        <v>#REF!</v>
      </c>
      <c r="P95" s="30" t="e">
        <f>P90+P91+P92+P93+#REF!+P94</f>
        <v>#REF!</v>
      </c>
      <c r="Q95" s="30" t="e">
        <f>Q90+Q91+Q92+Q93+#REF!+Q94</f>
        <v>#REF!</v>
      </c>
      <c r="R95" s="1"/>
    </row>
    <row r="96" spans="2:18" ht="14.25" customHeight="1" x14ac:dyDescent="0.25">
      <c r="B96" s="194" t="s">
        <v>61</v>
      </c>
      <c r="C96" s="168" t="s">
        <v>249</v>
      </c>
      <c r="D96" s="31">
        <v>60</v>
      </c>
      <c r="E96" s="31"/>
      <c r="F96" s="31"/>
      <c r="G96" s="31"/>
      <c r="H96" s="32"/>
      <c r="I96" s="31"/>
      <c r="J96" s="147"/>
      <c r="K96" s="194" t="s">
        <v>61</v>
      </c>
      <c r="L96" s="168" t="s">
        <v>249</v>
      </c>
      <c r="M96" s="3">
        <v>100</v>
      </c>
      <c r="N96" s="3"/>
      <c r="O96" s="3"/>
      <c r="P96" s="3"/>
      <c r="Q96" s="6"/>
      <c r="R96" s="3"/>
    </row>
    <row r="97" spans="2:18" ht="14.25" customHeight="1" x14ac:dyDescent="0.25">
      <c r="B97" s="195"/>
      <c r="C97" s="168" t="s">
        <v>97</v>
      </c>
      <c r="D97" s="31">
        <v>200</v>
      </c>
      <c r="E97" s="31"/>
      <c r="F97" s="31"/>
      <c r="G97" s="31"/>
      <c r="H97" s="32"/>
      <c r="I97" s="31"/>
      <c r="J97" s="147"/>
      <c r="K97" s="195"/>
      <c r="L97" s="168" t="s">
        <v>97</v>
      </c>
      <c r="M97" s="3">
        <v>250</v>
      </c>
      <c r="N97" s="3"/>
      <c r="O97" s="3"/>
      <c r="P97" s="3"/>
      <c r="Q97" s="6"/>
      <c r="R97" s="3"/>
    </row>
    <row r="98" spans="2:18" ht="14.25" customHeight="1" x14ac:dyDescent="0.25">
      <c r="B98" s="195"/>
      <c r="C98" s="168" t="s">
        <v>62</v>
      </c>
      <c r="D98" s="31">
        <v>150</v>
      </c>
      <c r="E98" s="31"/>
      <c r="F98" s="31"/>
      <c r="G98" s="31"/>
      <c r="H98" s="32"/>
      <c r="I98" s="31"/>
      <c r="J98" s="147"/>
      <c r="K98" s="195"/>
      <c r="L98" s="168" t="s">
        <v>62</v>
      </c>
      <c r="M98" s="3">
        <v>180</v>
      </c>
      <c r="N98" s="3"/>
      <c r="O98" s="3"/>
      <c r="P98" s="3"/>
      <c r="Q98" s="6"/>
      <c r="R98" s="3"/>
    </row>
    <row r="99" spans="2:18" ht="14.25" customHeight="1" x14ac:dyDescent="0.25">
      <c r="B99" s="195"/>
      <c r="C99" s="122" t="s">
        <v>309</v>
      </c>
      <c r="D99" s="31">
        <v>90</v>
      </c>
      <c r="E99" s="31"/>
      <c r="F99" s="31"/>
      <c r="G99" s="31"/>
      <c r="H99" s="32"/>
      <c r="I99" s="31"/>
      <c r="J99" s="147"/>
      <c r="K99" s="195"/>
      <c r="L99" s="122" t="s">
        <v>309</v>
      </c>
      <c r="M99" s="3">
        <v>100</v>
      </c>
      <c r="N99" s="3"/>
      <c r="O99" s="3"/>
      <c r="P99" s="3"/>
      <c r="Q99" s="6"/>
      <c r="R99" s="3"/>
    </row>
    <row r="100" spans="2:18" ht="14.25" customHeight="1" x14ac:dyDescent="0.25">
      <c r="B100" s="195"/>
      <c r="C100" s="168" t="s">
        <v>91</v>
      </c>
      <c r="D100" s="31">
        <v>200</v>
      </c>
      <c r="E100" s="31"/>
      <c r="F100" s="31"/>
      <c r="G100" s="31"/>
      <c r="H100" s="32"/>
      <c r="I100" s="31"/>
      <c r="J100" s="147"/>
      <c r="K100" s="195"/>
      <c r="L100" s="168" t="s">
        <v>91</v>
      </c>
      <c r="M100" s="3">
        <v>200</v>
      </c>
      <c r="N100" s="3"/>
      <c r="O100" s="3"/>
      <c r="P100" s="3"/>
      <c r="Q100" s="6"/>
      <c r="R100" s="3"/>
    </row>
    <row r="101" spans="2:18" ht="14.25" customHeight="1" x14ac:dyDescent="0.25">
      <c r="B101" s="195"/>
      <c r="C101" s="168" t="s">
        <v>4</v>
      </c>
      <c r="D101" s="31">
        <v>30</v>
      </c>
      <c r="E101" s="31"/>
      <c r="F101" s="31"/>
      <c r="G101" s="31"/>
      <c r="H101" s="32"/>
      <c r="I101" s="31"/>
      <c r="J101" s="147"/>
      <c r="K101" s="195"/>
      <c r="L101" s="168" t="s">
        <v>4</v>
      </c>
      <c r="M101" s="3">
        <v>30</v>
      </c>
      <c r="N101" s="3"/>
      <c r="O101" s="3"/>
      <c r="P101" s="3"/>
      <c r="Q101" s="6"/>
      <c r="R101" s="3"/>
    </row>
    <row r="102" spans="2:18" ht="14.25" customHeight="1" x14ac:dyDescent="0.25">
      <c r="B102" s="196"/>
      <c r="C102" s="168" t="s">
        <v>63</v>
      </c>
      <c r="D102" s="31">
        <v>40</v>
      </c>
      <c r="E102" s="32"/>
      <c r="F102" s="32"/>
      <c r="G102" s="32"/>
      <c r="H102" s="32"/>
      <c r="I102" s="31"/>
      <c r="J102" s="147"/>
      <c r="K102" s="196"/>
      <c r="L102" s="168" t="s">
        <v>63</v>
      </c>
      <c r="M102" s="3">
        <v>40</v>
      </c>
      <c r="N102" s="6"/>
      <c r="O102" s="6"/>
      <c r="P102" s="6"/>
      <c r="Q102" s="6"/>
      <c r="R102" s="3"/>
    </row>
    <row r="103" spans="2:18" ht="14.25" customHeight="1" x14ac:dyDescent="0.25">
      <c r="B103" s="187" t="s">
        <v>64</v>
      </c>
      <c r="C103" s="187"/>
      <c r="D103" s="170">
        <f>D96+D97+D99+D100+D101+D102</f>
        <v>620</v>
      </c>
      <c r="E103" s="170">
        <f t="shared" ref="E103:H103" si="12">E96+E97+E99+E100+E101+E102</f>
        <v>0</v>
      </c>
      <c r="F103" s="170">
        <f t="shared" si="12"/>
        <v>0</v>
      </c>
      <c r="G103" s="170">
        <f t="shared" si="12"/>
        <v>0</v>
      </c>
      <c r="H103" s="170">
        <f t="shared" si="12"/>
        <v>0</v>
      </c>
      <c r="I103" s="33"/>
      <c r="J103" s="147"/>
      <c r="K103" s="187" t="s">
        <v>64</v>
      </c>
      <c r="L103" s="187"/>
      <c r="M103" s="30">
        <f>M96+M97+M99+M100+M101+M102</f>
        <v>720</v>
      </c>
      <c r="N103" s="30">
        <f t="shared" ref="N103:Q103" si="13">N96+N97+N99+N100+N101+N102</f>
        <v>0</v>
      </c>
      <c r="O103" s="30">
        <f t="shared" si="13"/>
        <v>0</v>
      </c>
      <c r="P103" s="30">
        <f t="shared" si="13"/>
        <v>0</v>
      </c>
      <c r="Q103" s="30">
        <f t="shared" si="13"/>
        <v>0</v>
      </c>
      <c r="R103" s="1"/>
    </row>
    <row r="104" spans="2:18" ht="14.25" customHeight="1" x14ac:dyDescent="0.25">
      <c r="B104" s="187" t="s">
        <v>65</v>
      </c>
      <c r="C104" s="187"/>
      <c r="D104" s="170" t="e">
        <f>D95+D103</f>
        <v>#REF!</v>
      </c>
      <c r="E104" s="170" t="e">
        <f t="shared" ref="E104:H104" si="14">E95+E103</f>
        <v>#REF!</v>
      </c>
      <c r="F104" s="170" t="e">
        <f t="shared" si="14"/>
        <v>#REF!</v>
      </c>
      <c r="G104" s="170" t="e">
        <f t="shared" si="14"/>
        <v>#REF!</v>
      </c>
      <c r="H104" s="170" t="e">
        <f t="shared" si="14"/>
        <v>#REF!</v>
      </c>
      <c r="I104" s="170"/>
      <c r="J104" s="147"/>
      <c r="K104" s="187" t="s">
        <v>65</v>
      </c>
      <c r="L104" s="187"/>
      <c r="M104" s="30" t="e">
        <f>M95+M103</f>
        <v>#REF!</v>
      </c>
      <c r="N104" s="30" t="e">
        <f t="shared" ref="N104:Q104" si="15">N95+N103</f>
        <v>#REF!</v>
      </c>
      <c r="O104" s="30" t="e">
        <f t="shared" si="15"/>
        <v>#REF!</v>
      </c>
      <c r="P104" s="30" t="e">
        <f t="shared" si="15"/>
        <v>#REF!</v>
      </c>
      <c r="Q104" s="30" t="e">
        <f t="shared" si="15"/>
        <v>#REF!</v>
      </c>
      <c r="R104" s="30"/>
    </row>
    <row r="105" spans="2:18" ht="14.25" customHeight="1" x14ac:dyDescent="0.25">
      <c r="B105" s="159" t="s">
        <v>79</v>
      </c>
      <c r="C105" s="160"/>
      <c r="D105" s="160"/>
      <c r="E105" s="160"/>
      <c r="F105" s="160"/>
      <c r="G105" s="160"/>
      <c r="H105" s="160"/>
      <c r="I105" s="161"/>
      <c r="J105" s="147"/>
      <c r="K105" s="159" t="s">
        <v>79</v>
      </c>
      <c r="L105" s="160"/>
      <c r="M105" s="126"/>
      <c r="N105" s="126"/>
      <c r="O105" s="126"/>
      <c r="P105" s="126"/>
      <c r="Q105" s="126"/>
      <c r="R105" s="127"/>
    </row>
    <row r="106" spans="2:18" ht="14.25" customHeight="1" x14ac:dyDescent="0.25">
      <c r="B106" s="159" t="s">
        <v>59</v>
      </c>
      <c r="C106" s="160"/>
      <c r="D106" s="160"/>
      <c r="E106" s="160"/>
      <c r="F106" s="160"/>
      <c r="G106" s="160"/>
      <c r="H106" s="160"/>
      <c r="I106" s="161"/>
      <c r="J106" s="147"/>
      <c r="K106" s="159" t="s">
        <v>59</v>
      </c>
      <c r="L106" s="160"/>
      <c r="M106" s="126"/>
      <c r="N106" s="126"/>
      <c r="O106" s="126"/>
      <c r="P106" s="126"/>
      <c r="Q106" s="126"/>
      <c r="R106" s="127"/>
    </row>
    <row r="107" spans="2:18" ht="14.25" customHeight="1" x14ac:dyDescent="0.25">
      <c r="B107" s="194" t="s">
        <v>3</v>
      </c>
      <c r="C107" s="162" t="s">
        <v>98</v>
      </c>
      <c r="D107" s="33">
        <v>200</v>
      </c>
      <c r="E107" s="33"/>
      <c r="F107" s="33"/>
      <c r="G107" s="33"/>
      <c r="H107" s="33"/>
      <c r="I107" s="33"/>
      <c r="J107" s="147"/>
      <c r="K107" s="194" t="s">
        <v>3</v>
      </c>
      <c r="L107" s="162" t="s">
        <v>98</v>
      </c>
      <c r="M107" s="1">
        <v>200</v>
      </c>
      <c r="N107" s="1"/>
      <c r="O107" s="1"/>
      <c r="P107" s="1"/>
      <c r="Q107" s="1"/>
      <c r="R107" s="1"/>
    </row>
    <row r="108" spans="2:18" ht="14.25" customHeight="1" x14ac:dyDescent="0.25">
      <c r="B108" s="195"/>
      <c r="C108" s="168" t="s">
        <v>4</v>
      </c>
      <c r="D108" s="31">
        <v>30</v>
      </c>
      <c r="E108" s="31"/>
      <c r="F108" s="31"/>
      <c r="G108" s="31"/>
      <c r="H108" s="32"/>
      <c r="I108" s="31"/>
      <c r="J108" s="147"/>
      <c r="K108" s="195"/>
      <c r="L108" s="168" t="s">
        <v>4</v>
      </c>
      <c r="M108" s="3">
        <v>30</v>
      </c>
      <c r="N108" s="3"/>
      <c r="O108" s="3"/>
      <c r="P108" s="3"/>
      <c r="Q108" s="6"/>
      <c r="R108" s="3"/>
    </row>
    <row r="109" spans="2:18" ht="14.25" customHeight="1" x14ac:dyDescent="0.25">
      <c r="B109" s="195"/>
      <c r="C109" s="168" t="s">
        <v>5</v>
      </c>
      <c r="D109" s="31">
        <v>200</v>
      </c>
      <c r="E109" s="31"/>
      <c r="F109" s="31"/>
      <c r="G109" s="31"/>
      <c r="H109" s="32"/>
      <c r="I109" s="31"/>
      <c r="J109" s="147"/>
      <c r="K109" s="195"/>
      <c r="L109" s="168" t="s">
        <v>5</v>
      </c>
      <c r="M109" s="3">
        <v>200</v>
      </c>
      <c r="N109" s="3"/>
      <c r="O109" s="3"/>
      <c r="P109" s="3"/>
      <c r="Q109" s="6"/>
      <c r="R109" s="3"/>
    </row>
    <row r="110" spans="2:18" ht="14.25" customHeight="1" x14ac:dyDescent="0.25">
      <c r="B110" s="195"/>
      <c r="C110" s="143" t="s">
        <v>14</v>
      </c>
      <c r="D110" s="33">
        <v>100</v>
      </c>
      <c r="E110" s="168">
        <v>0.27</v>
      </c>
      <c r="F110" s="168">
        <v>0.27</v>
      </c>
      <c r="G110" s="168">
        <v>6.53</v>
      </c>
      <c r="H110" s="32">
        <v>31.33</v>
      </c>
      <c r="I110" s="33"/>
      <c r="J110" s="147"/>
      <c r="K110" s="195"/>
      <c r="L110" s="143" t="s">
        <v>14</v>
      </c>
      <c r="M110" s="1">
        <v>100</v>
      </c>
      <c r="N110" s="2">
        <v>0.27</v>
      </c>
      <c r="O110" s="2">
        <v>0.27</v>
      </c>
      <c r="P110" s="2">
        <v>6.53</v>
      </c>
      <c r="Q110" s="6">
        <v>31.33</v>
      </c>
      <c r="R110" s="1"/>
    </row>
    <row r="111" spans="2:18" ht="14.25" customHeight="1" x14ac:dyDescent="0.25">
      <c r="B111" s="196"/>
      <c r="C111" s="168" t="s">
        <v>15</v>
      </c>
      <c r="D111" s="33">
        <v>200</v>
      </c>
      <c r="E111" s="168">
        <v>5.8</v>
      </c>
      <c r="F111" s="168">
        <v>6.4</v>
      </c>
      <c r="G111" s="168">
        <v>9.4</v>
      </c>
      <c r="H111" s="32">
        <v>120</v>
      </c>
      <c r="I111" s="33"/>
      <c r="J111" s="147"/>
      <c r="K111" s="196"/>
      <c r="L111" s="168" t="s">
        <v>15</v>
      </c>
      <c r="M111" s="1">
        <v>200</v>
      </c>
      <c r="N111" s="2">
        <v>5.8</v>
      </c>
      <c r="O111" s="2">
        <v>6.4</v>
      </c>
      <c r="P111" s="2">
        <v>9.4</v>
      </c>
      <c r="Q111" s="6">
        <v>120</v>
      </c>
      <c r="R111" s="1"/>
    </row>
    <row r="112" spans="2:18" ht="14.25" customHeight="1" x14ac:dyDescent="0.25">
      <c r="B112" s="187" t="s">
        <v>6</v>
      </c>
      <c r="C112" s="187"/>
      <c r="D112" s="170" t="e">
        <f>D108+D110+#REF!+D111+230</f>
        <v>#REF!</v>
      </c>
      <c r="E112" s="170" t="e">
        <f>E107+E108+E110+#REF!+E111</f>
        <v>#REF!</v>
      </c>
      <c r="F112" s="170" t="e">
        <f>F107+F108+F110+#REF!+F111</f>
        <v>#REF!</v>
      </c>
      <c r="G112" s="170" t="e">
        <f>G107+G108+G110+#REF!+G111</f>
        <v>#REF!</v>
      </c>
      <c r="H112" s="170" t="e">
        <f>H107+H108+H110+#REF!+H111</f>
        <v>#REF!</v>
      </c>
      <c r="I112" s="33"/>
      <c r="J112" s="147"/>
      <c r="K112" s="187" t="s">
        <v>6</v>
      </c>
      <c r="L112" s="187"/>
      <c r="M112" s="30" t="e">
        <f>M108+M110+#REF!+M111+230</f>
        <v>#REF!</v>
      </c>
      <c r="N112" s="30" t="e">
        <f>N107+N108+N110+#REF!+N111</f>
        <v>#REF!</v>
      </c>
      <c r="O112" s="30" t="e">
        <f>O107+O108+O110+#REF!+O111</f>
        <v>#REF!</v>
      </c>
      <c r="P112" s="30" t="e">
        <f>P107+P108+P110+#REF!+P111</f>
        <v>#REF!</v>
      </c>
      <c r="Q112" s="30" t="e">
        <f>Q107+Q108+Q110+#REF!+Q111</f>
        <v>#REF!</v>
      </c>
      <c r="R112" s="1"/>
    </row>
    <row r="113" spans="2:18" ht="14.25" customHeight="1" x14ac:dyDescent="0.25">
      <c r="B113" s="194" t="s">
        <v>61</v>
      </c>
      <c r="C113" s="172" t="s">
        <v>77</v>
      </c>
      <c r="D113" s="31">
        <v>60</v>
      </c>
      <c r="E113" s="31"/>
      <c r="F113" s="31"/>
      <c r="G113" s="31"/>
      <c r="H113" s="32"/>
      <c r="I113" s="31"/>
      <c r="J113" s="147"/>
      <c r="K113" s="194" t="s">
        <v>61</v>
      </c>
      <c r="L113" s="172" t="s">
        <v>77</v>
      </c>
      <c r="M113" s="3">
        <v>100</v>
      </c>
      <c r="N113" s="3"/>
      <c r="O113" s="3"/>
      <c r="P113" s="3"/>
      <c r="Q113" s="6"/>
      <c r="R113" s="3"/>
    </row>
    <row r="114" spans="2:18" ht="14.25" customHeight="1" x14ac:dyDescent="0.25">
      <c r="B114" s="195"/>
      <c r="C114" s="168" t="s">
        <v>68</v>
      </c>
      <c r="D114" s="31">
        <v>200</v>
      </c>
      <c r="E114" s="31"/>
      <c r="F114" s="31"/>
      <c r="G114" s="31"/>
      <c r="H114" s="32"/>
      <c r="I114" s="31"/>
      <c r="J114" s="147"/>
      <c r="K114" s="195"/>
      <c r="L114" s="168" t="s">
        <v>68</v>
      </c>
      <c r="M114" s="3">
        <v>250</v>
      </c>
      <c r="N114" s="3"/>
      <c r="O114" s="3"/>
      <c r="P114" s="3"/>
      <c r="Q114" s="6"/>
      <c r="R114" s="3"/>
    </row>
    <row r="115" spans="2:18" ht="14.25" customHeight="1" x14ac:dyDescent="0.25">
      <c r="B115" s="195"/>
      <c r="C115" s="168" t="s">
        <v>99</v>
      </c>
      <c r="D115" s="31">
        <v>150</v>
      </c>
      <c r="E115" s="31"/>
      <c r="F115" s="31"/>
      <c r="G115" s="31"/>
      <c r="H115" s="32"/>
      <c r="I115" s="31"/>
      <c r="J115" s="147"/>
      <c r="K115" s="195"/>
      <c r="L115" s="168" t="s">
        <v>99</v>
      </c>
      <c r="M115" s="3">
        <v>180</v>
      </c>
      <c r="N115" s="3"/>
      <c r="O115" s="3"/>
      <c r="P115" s="3"/>
      <c r="Q115" s="6"/>
      <c r="R115" s="3"/>
    </row>
    <row r="116" spans="2:18" ht="14.25" customHeight="1" x14ac:dyDescent="0.25">
      <c r="B116" s="195"/>
      <c r="C116" s="168" t="s">
        <v>100</v>
      </c>
      <c r="D116" s="31">
        <v>90</v>
      </c>
      <c r="E116" s="31"/>
      <c r="F116" s="31"/>
      <c r="G116" s="31"/>
      <c r="H116" s="32"/>
      <c r="I116" s="31"/>
      <c r="J116" s="147"/>
      <c r="K116" s="195"/>
      <c r="L116" s="168" t="s">
        <v>100</v>
      </c>
      <c r="M116" s="3">
        <v>100</v>
      </c>
      <c r="N116" s="3"/>
      <c r="O116" s="3"/>
      <c r="P116" s="3"/>
      <c r="Q116" s="6"/>
      <c r="R116" s="3"/>
    </row>
    <row r="117" spans="2:18" ht="14.25" customHeight="1" x14ac:dyDescent="0.25">
      <c r="B117" s="195"/>
      <c r="C117" s="168" t="s">
        <v>81</v>
      </c>
      <c r="D117" s="31">
        <v>200</v>
      </c>
      <c r="E117" s="31"/>
      <c r="F117" s="31"/>
      <c r="G117" s="31"/>
      <c r="H117" s="32"/>
      <c r="I117" s="31"/>
      <c r="J117" s="147"/>
      <c r="K117" s="195"/>
      <c r="L117" s="168" t="s">
        <v>81</v>
      </c>
      <c r="M117" s="3">
        <v>200</v>
      </c>
      <c r="N117" s="3"/>
      <c r="O117" s="3"/>
      <c r="P117" s="3"/>
      <c r="Q117" s="6"/>
      <c r="R117" s="3"/>
    </row>
    <row r="118" spans="2:18" ht="14.25" customHeight="1" x14ac:dyDescent="0.25">
      <c r="B118" s="195"/>
      <c r="C118" s="168" t="s">
        <v>4</v>
      </c>
      <c r="D118" s="31">
        <v>30</v>
      </c>
      <c r="E118" s="31"/>
      <c r="F118" s="31"/>
      <c r="G118" s="31"/>
      <c r="H118" s="32"/>
      <c r="I118" s="33"/>
      <c r="J118" s="147"/>
      <c r="K118" s="195"/>
      <c r="L118" s="168" t="s">
        <v>4</v>
      </c>
      <c r="M118" s="3">
        <v>30</v>
      </c>
      <c r="N118" s="3"/>
      <c r="O118" s="3"/>
      <c r="P118" s="3"/>
      <c r="Q118" s="6"/>
      <c r="R118" s="1"/>
    </row>
    <row r="119" spans="2:18" ht="14.25" customHeight="1" x14ac:dyDescent="0.25">
      <c r="B119" s="196"/>
      <c r="C119" s="168" t="s">
        <v>63</v>
      </c>
      <c r="D119" s="31">
        <v>40</v>
      </c>
      <c r="E119" s="32"/>
      <c r="F119" s="32"/>
      <c r="G119" s="32"/>
      <c r="H119" s="32"/>
      <c r="I119" s="33"/>
      <c r="J119" s="147"/>
      <c r="K119" s="196"/>
      <c r="L119" s="168" t="s">
        <v>63</v>
      </c>
      <c r="M119" s="3">
        <v>40</v>
      </c>
      <c r="N119" s="6"/>
      <c r="O119" s="6"/>
      <c r="P119" s="6"/>
      <c r="Q119" s="6"/>
      <c r="R119" s="1"/>
    </row>
    <row r="120" spans="2:18" ht="14.25" customHeight="1" x14ac:dyDescent="0.25">
      <c r="B120" s="187" t="s">
        <v>64</v>
      </c>
      <c r="C120" s="187"/>
      <c r="D120" s="170">
        <f>D113+D114+D115+D116+D117+D118+D119</f>
        <v>770</v>
      </c>
      <c r="E120" s="170">
        <f t="shared" ref="E120:H120" si="16">E113+E114+E115+E116+E117+E118+E119</f>
        <v>0</v>
      </c>
      <c r="F120" s="170">
        <f t="shared" si="16"/>
        <v>0</v>
      </c>
      <c r="G120" s="170">
        <f t="shared" si="16"/>
        <v>0</v>
      </c>
      <c r="H120" s="170">
        <f t="shared" si="16"/>
        <v>0</v>
      </c>
      <c r="I120" s="33"/>
      <c r="J120" s="147"/>
      <c r="K120" s="187" t="s">
        <v>64</v>
      </c>
      <c r="L120" s="187"/>
      <c r="M120" s="30">
        <f>M113+M114+M115+M116+M117+M118+M119</f>
        <v>900</v>
      </c>
      <c r="N120" s="30">
        <f t="shared" ref="N120:Q120" si="17">N113+N114+N115+N116+N117+N118+N119</f>
        <v>0</v>
      </c>
      <c r="O120" s="30">
        <f t="shared" si="17"/>
        <v>0</v>
      </c>
      <c r="P120" s="30">
        <f t="shared" si="17"/>
        <v>0</v>
      </c>
      <c r="Q120" s="30">
        <f t="shared" si="17"/>
        <v>0</v>
      </c>
      <c r="R120" s="1"/>
    </row>
    <row r="121" spans="2:18" ht="14.25" customHeight="1" x14ac:dyDescent="0.25">
      <c r="B121" s="187" t="s">
        <v>65</v>
      </c>
      <c r="C121" s="187"/>
      <c r="D121" s="170" t="e">
        <f>D112+D120</f>
        <v>#REF!</v>
      </c>
      <c r="E121" s="170" t="e">
        <f t="shared" ref="E121:H121" si="18">E112+E120</f>
        <v>#REF!</v>
      </c>
      <c r="F121" s="170" t="e">
        <f t="shared" si="18"/>
        <v>#REF!</v>
      </c>
      <c r="G121" s="170" t="e">
        <f t="shared" si="18"/>
        <v>#REF!</v>
      </c>
      <c r="H121" s="170" t="e">
        <f t="shared" si="18"/>
        <v>#REF!</v>
      </c>
      <c r="I121" s="170"/>
      <c r="J121" s="147"/>
      <c r="K121" s="187" t="s">
        <v>65</v>
      </c>
      <c r="L121" s="187"/>
      <c r="M121" s="30" t="e">
        <f>M112+M120</f>
        <v>#REF!</v>
      </c>
      <c r="N121" s="30" t="e">
        <f t="shared" ref="N121:Q121" si="19">N112+N120</f>
        <v>#REF!</v>
      </c>
      <c r="O121" s="30" t="e">
        <f t="shared" si="19"/>
        <v>#REF!</v>
      </c>
      <c r="P121" s="30" t="e">
        <f t="shared" si="19"/>
        <v>#REF!</v>
      </c>
      <c r="Q121" s="30" t="e">
        <f t="shared" si="19"/>
        <v>#REF!</v>
      </c>
      <c r="R121" s="30"/>
    </row>
    <row r="122" spans="2:18" ht="14.25" customHeight="1" x14ac:dyDescent="0.25">
      <c r="B122" s="159" t="s">
        <v>66</v>
      </c>
      <c r="C122" s="160"/>
      <c r="D122" s="160"/>
      <c r="E122" s="160"/>
      <c r="F122" s="160"/>
      <c r="G122" s="160"/>
      <c r="H122" s="160"/>
      <c r="I122" s="161"/>
      <c r="J122" s="147"/>
      <c r="K122" s="159" t="s">
        <v>66</v>
      </c>
      <c r="L122" s="160"/>
      <c r="M122" s="126"/>
      <c r="N122" s="126"/>
      <c r="O122" s="126"/>
      <c r="P122" s="126"/>
      <c r="Q122" s="126"/>
      <c r="R122" s="127"/>
    </row>
    <row r="123" spans="2:18" ht="14.25" customHeight="1" x14ac:dyDescent="0.25">
      <c r="B123" s="194" t="s">
        <v>3</v>
      </c>
      <c r="C123" s="33" t="s">
        <v>76</v>
      </c>
      <c r="D123" s="33">
        <v>200</v>
      </c>
      <c r="E123" s="31"/>
      <c r="F123" s="31"/>
      <c r="G123" s="31"/>
      <c r="H123" s="31"/>
      <c r="I123" s="33"/>
      <c r="J123" s="147"/>
      <c r="K123" s="194" t="s">
        <v>3</v>
      </c>
      <c r="L123" s="33" t="s">
        <v>76</v>
      </c>
      <c r="M123" s="1">
        <v>200</v>
      </c>
      <c r="N123" s="3"/>
      <c r="O123" s="3"/>
      <c r="P123" s="3"/>
      <c r="Q123" s="3"/>
      <c r="R123" s="1"/>
    </row>
    <row r="124" spans="2:18" ht="14.25" customHeight="1" x14ac:dyDescent="0.25">
      <c r="B124" s="195"/>
      <c r="C124" s="168" t="s">
        <v>89</v>
      </c>
      <c r="D124" s="31">
        <v>200</v>
      </c>
      <c r="E124" s="31"/>
      <c r="F124" s="31"/>
      <c r="G124" s="31"/>
      <c r="H124" s="31"/>
      <c r="I124" s="31"/>
      <c r="J124" s="147"/>
      <c r="K124" s="195"/>
      <c r="L124" s="168" t="s">
        <v>89</v>
      </c>
      <c r="M124" s="3">
        <v>200</v>
      </c>
      <c r="N124" s="3"/>
      <c r="O124" s="3"/>
      <c r="P124" s="3"/>
      <c r="Q124" s="3"/>
      <c r="R124" s="3"/>
    </row>
    <row r="125" spans="2:18" ht="14.25" customHeight="1" x14ac:dyDescent="0.25">
      <c r="B125" s="195"/>
      <c r="C125" s="168" t="s">
        <v>104</v>
      </c>
      <c r="D125" s="33">
        <v>50</v>
      </c>
      <c r="E125" s="33"/>
      <c r="F125" s="33"/>
      <c r="G125" s="33"/>
      <c r="H125" s="33"/>
      <c r="I125" s="33"/>
      <c r="J125" s="147"/>
      <c r="K125" s="195"/>
      <c r="L125" s="168" t="s">
        <v>104</v>
      </c>
      <c r="M125" s="1">
        <v>50</v>
      </c>
      <c r="N125" s="1"/>
      <c r="O125" s="1"/>
      <c r="P125" s="1"/>
      <c r="Q125" s="1"/>
      <c r="R125" s="1"/>
    </row>
    <row r="126" spans="2:18" ht="14.25" customHeight="1" x14ac:dyDescent="0.25">
      <c r="B126" s="195"/>
      <c r="C126" s="143" t="s">
        <v>14</v>
      </c>
      <c r="D126" s="33">
        <v>100</v>
      </c>
      <c r="E126" s="168">
        <v>0.27</v>
      </c>
      <c r="F126" s="168">
        <v>0.27</v>
      </c>
      <c r="G126" s="168">
        <v>6.53</v>
      </c>
      <c r="H126" s="32">
        <v>31.33</v>
      </c>
      <c r="I126" s="33"/>
      <c r="J126" s="147"/>
      <c r="K126" s="195"/>
      <c r="L126" s="143" t="s">
        <v>14</v>
      </c>
      <c r="M126" s="1">
        <v>100</v>
      </c>
      <c r="N126" s="2">
        <v>0.27</v>
      </c>
      <c r="O126" s="2">
        <v>0.27</v>
      </c>
      <c r="P126" s="2">
        <v>6.53</v>
      </c>
      <c r="Q126" s="6">
        <v>31.33</v>
      </c>
      <c r="R126" s="1"/>
    </row>
    <row r="127" spans="2:18" ht="14.25" customHeight="1" x14ac:dyDescent="0.25">
      <c r="B127" s="196"/>
      <c r="C127" s="168" t="s">
        <v>15</v>
      </c>
      <c r="D127" s="33">
        <v>200</v>
      </c>
      <c r="E127" s="168">
        <v>5.8</v>
      </c>
      <c r="F127" s="168">
        <v>6.4</v>
      </c>
      <c r="G127" s="168">
        <v>9.4</v>
      </c>
      <c r="H127" s="32">
        <v>120</v>
      </c>
      <c r="I127" s="33"/>
      <c r="J127" s="147"/>
      <c r="K127" s="196"/>
      <c r="L127" s="168" t="s">
        <v>15</v>
      </c>
      <c r="M127" s="1">
        <v>200</v>
      </c>
      <c r="N127" s="2">
        <v>5.8</v>
      </c>
      <c r="O127" s="2">
        <v>6.4</v>
      </c>
      <c r="P127" s="2">
        <v>9.4</v>
      </c>
      <c r="Q127" s="6">
        <v>120</v>
      </c>
      <c r="R127" s="1"/>
    </row>
    <row r="128" spans="2:18" ht="14.25" customHeight="1" x14ac:dyDescent="0.25">
      <c r="B128" s="187" t="s">
        <v>6</v>
      </c>
      <c r="C128" s="187"/>
      <c r="D128" s="170" t="e">
        <f>D123+D124+D126+#REF!+D127+D125</f>
        <v>#REF!</v>
      </c>
      <c r="E128" s="170" t="e">
        <f>E123+E124+E126+#REF!+E127+E125</f>
        <v>#REF!</v>
      </c>
      <c r="F128" s="170" t="e">
        <f>F123+F124+F126+#REF!+F127+F125</f>
        <v>#REF!</v>
      </c>
      <c r="G128" s="170" t="e">
        <f>G123+G124+G126+#REF!+G127+G125</f>
        <v>#REF!</v>
      </c>
      <c r="H128" s="170" t="e">
        <f>H123+H124+H126+#REF!+H127+H125</f>
        <v>#REF!</v>
      </c>
      <c r="I128" s="33"/>
      <c r="J128" s="147"/>
      <c r="K128" s="187" t="s">
        <v>6</v>
      </c>
      <c r="L128" s="187"/>
      <c r="M128" s="30" t="e">
        <f>M123+M124+M126+#REF!+M127+M125</f>
        <v>#REF!</v>
      </c>
      <c r="N128" s="30" t="e">
        <f>N123+N124+N126+#REF!+N127+N125</f>
        <v>#REF!</v>
      </c>
      <c r="O128" s="30" t="e">
        <f>O123+O124+O126+#REF!+O127+O125</f>
        <v>#REF!</v>
      </c>
      <c r="P128" s="30" t="e">
        <f>P123+P124+P126+#REF!+P127+P125</f>
        <v>#REF!</v>
      </c>
      <c r="Q128" s="30" t="e">
        <f>Q123+Q124+Q126+#REF!+Q127+Q125</f>
        <v>#REF!</v>
      </c>
      <c r="R128" s="1"/>
    </row>
    <row r="129" spans="2:18" ht="14.25" customHeight="1" x14ac:dyDescent="0.25">
      <c r="B129" s="194" t="s">
        <v>61</v>
      </c>
      <c r="C129" s="172" t="s">
        <v>67</v>
      </c>
      <c r="D129" s="31">
        <v>60</v>
      </c>
      <c r="E129" s="31"/>
      <c r="F129" s="31"/>
      <c r="G129" s="31"/>
      <c r="H129" s="32"/>
      <c r="I129" s="31"/>
      <c r="J129" s="147"/>
      <c r="K129" s="194" t="s">
        <v>61</v>
      </c>
      <c r="L129" s="172" t="s">
        <v>67</v>
      </c>
      <c r="M129" s="3">
        <v>60</v>
      </c>
      <c r="N129" s="3"/>
      <c r="O129" s="3"/>
      <c r="P129" s="3"/>
      <c r="Q129" s="6"/>
      <c r="R129" s="3"/>
    </row>
    <row r="130" spans="2:18" ht="14.25" customHeight="1" x14ac:dyDescent="0.25">
      <c r="B130" s="195"/>
      <c r="C130" s="168" t="s">
        <v>108</v>
      </c>
      <c r="D130" s="31">
        <v>200</v>
      </c>
      <c r="E130" s="31"/>
      <c r="F130" s="31"/>
      <c r="G130" s="31"/>
      <c r="H130" s="32"/>
      <c r="I130" s="31"/>
      <c r="J130" s="147"/>
      <c r="K130" s="195"/>
      <c r="L130" s="168" t="s">
        <v>108</v>
      </c>
      <c r="M130" s="3">
        <v>200</v>
      </c>
      <c r="N130" s="3"/>
      <c r="O130" s="3"/>
      <c r="P130" s="3"/>
      <c r="Q130" s="6"/>
      <c r="R130" s="3"/>
    </row>
    <row r="131" spans="2:18" ht="14.25" customHeight="1" x14ac:dyDescent="0.25">
      <c r="B131" s="195"/>
      <c r="C131" s="168" t="s">
        <v>73</v>
      </c>
      <c r="D131" s="31">
        <v>150</v>
      </c>
      <c r="E131" s="31"/>
      <c r="F131" s="31"/>
      <c r="G131" s="31"/>
      <c r="H131" s="32"/>
      <c r="I131" s="31"/>
      <c r="J131" s="147"/>
      <c r="K131" s="195"/>
      <c r="L131" s="168" t="s">
        <v>73</v>
      </c>
      <c r="M131" s="3">
        <v>150</v>
      </c>
      <c r="N131" s="3"/>
      <c r="O131" s="3"/>
      <c r="P131" s="3"/>
      <c r="Q131" s="6"/>
      <c r="R131" s="3"/>
    </row>
    <row r="132" spans="2:18" ht="14.25" customHeight="1" x14ac:dyDescent="0.25">
      <c r="B132" s="195"/>
      <c r="C132" s="168" t="s">
        <v>102</v>
      </c>
      <c r="D132" s="31" t="s">
        <v>103</v>
      </c>
      <c r="E132" s="33"/>
      <c r="F132" s="33"/>
      <c r="G132" s="33"/>
      <c r="H132" s="34"/>
      <c r="I132" s="31"/>
      <c r="J132" s="147"/>
      <c r="K132" s="195"/>
      <c r="L132" s="168" t="s">
        <v>102</v>
      </c>
      <c r="M132" s="3" t="s">
        <v>208</v>
      </c>
      <c r="N132" s="33"/>
      <c r="O132" s="33"/>
      <c r="P132" s="33"/>
      <c r="Q132" s="34"/>
      <c r="R132" s="3"/>
    </row>
    <row r="133" spans="2:18" ht="14.25" customHeight="1" x14ac:dyDescent="0.25">
      <c r="B133" s="195"/>
      <c r="C133" s="168" t="s">
        <v>87</v>
      </c>
      <c r="D133" s="33">
        <v>200</v>
      </c>
      <c r="E133" s="33"/>
      <c r="F133" s="33"/>
      <c r="G133" s="33"/>
      <c r="H133" s="34"/>
      <c r="I133" s="31"/>
      <c r="J133" s="147"/>
      <c r="K133" s="195"/>
      <c r="L133" s="168" t="s">
        <v>87</v>
      </c>
      <c r="M133" s="33">
        <v>200</v>
      </c>
      <c r="N133" s="33"/>
      <c r="O133" s="33"/>
      <c r="P133" s="33"/>
      <c r="Q133" s="34"/>
      <c r="R133" s="3"/>
    </row>
    <row r="134" spans="2:18" ht="14.25" customHeight="1" x14ac:dyDescent="0.25">
      <c r="B134" s="195"/>
      <c r="C134" s="168" t="s">
        <v>4</v>
      </c>
      <c r="D134" s="31">
        <v>30</v>
      </c>
      <c r="E134" s="31"/>
      <c r="F134" s="31"/>
      <c r="G134" s="31"/>
      <c r="H134" s="32"/>
      <c r="I134" s="31"/>
      <c r="J134" s="147"/>
      <c r="K134" s="195"/>
      <c r="L134" s="168" t="s">
        <v>4</v>
      </c>
      <c r="M134" s="3">
        <v>30</v>
      </c>
      <c r="N134" s="3"/>
      <c r="O134" s="3"/>
      <c r="P134" s="3"/>
      <c r="Q134" s="6"/>
      <c r="R134" s="3"/>
    </row>
    <row r="135" spans="2:18" ht="14.25" customHeight="1" x14ac:dyDescent="0.25">
      <c r="B135" s="196"/>
      <c r="C135" s="168" t="s">
        <v>63</v>
      </c>
      <c r="D135" s="31">
        <v>40</v>
      </c>
      <c r="E135" s="32"/>
      <c r="F135" s="32"/>
      <c r="G135" s="32"/>
      <c r="H135" s="32"/>
      <c r="I135" s="33"/>
      <c r="J135" s="147"/>
      <c r="K135" s="196"/>
      <c r="L135" s="168" t="s">
        <v>63</v>
      </c>
      <c r="M135" s="3">
        <v>40</v>
      </c>
      <c r="N135" s="6"/>
      <c r="O135" s="6"/>
      <c r="P135" s="6"/>
      <c r="Q135" s="6"/>
      <c r="R135" s="1"/>
    </row>
    <row r="136" spans="2:18" ht="14.25" customHeight="1" x14ac:dyDescent="0.25">
      <c r="B136" s="187" t="s">
        <v>64</v>
      </c>
      <c r="C136" s="187"/>
      <c r="D136" s="170" t="e">
        <f>D129+D130+D131+D132+D133+D134+D135</f>
        <v>#VALUE!</v>
      </c>
      <c r="E136" s="170">
        <f t="shared" ref="E136:H136" si="20">E129+E130+E131+E132+E133+E134+E135</f>
        <v>0</v>
      </c>
      <c r="F136" s="170">
        <f t="shared" si="20"/>
        <v>0</v>
      </c>
      <c r="G136" s="170">
        <f t="shared" si="20"/>
        <v>0</v>
      </c>
      <c r="H136" s="170">
        <f t="shared" si="20"/>
        <v>0</v>
      </c>
      <c r="I136" s="33"/>
      <c r="J136" s="147"/>
      <c r="K136" s="187" t="s">
        <v>64</v>
      </c>
      <c r="L136" s="187"/>
      <c r="M136" s="30" t="e">
        <f>M129+M130+M131+M132+M133+M134+M135</f>
        <v>#VALUE!</v>
      </c>
      <c r="N136" s="30">
        <f t="shared" ref="N136:Q136" si="21">N129+N130+N131+N132+N133+N134+N135</f>
        <v>0</v>
      </c>
      <c r="O136" s="30">
        <f t="shared" si="21"/>
        <v>0</v>
      </c>
      <c r="P136" s="30">
        <f t="shared" si="21"/>
        <v>0</v>
      </c>
      <c r="Q136" s="30">
        <f t="shared" si="21"/>
        <v>0</v>
      </c>
      <c r="R136" s="1"/>
    </row>
    <row r="137" spans="2:18" ht="14.25" customHeight="1" x14ac:dyDescent="0.25">
      <c r="B137" s="187" t="s">
        <v>65</v>
      </c>
      <c r="C137" s="187"/>
      <c r="D137" s="170" t="e">
        <f>D128+D136</f>
        <v>#REF!</v>
      </c>
      <c r="E137" s="170" t="e">
        <f t="shared" ref="E137:H137" si="22">E128+E136</f>
        <v>#REF!</v>
      </c>
      <c r="F137" s="170" t="e">
        <f t="shared" si="22"/>
        <v>#REF!</v>
      </c>
      <c r="G137" s="170" t="e">
        <f t="shared" si="22"/>
        <v>#REF!</v>
      </c>
      <c r="H137" s="170" t="e">
        <f t="shared" si="22"/>
        <v>#REF!</v>
      </c>
      <c r="I137" s="170"/>
      <c r="J137" s="147"/>
      <c r="K137" s="187" t="s">
        <v>65</v>
      </c>
      <c r="L137" s="187"/>
      <c r="M137" s="30" t="e">
        <f>M128+M136</f>
        <v>#REF!</v>
      </c>
      <c r="N137" s="30" t="e">
        <f t="shared" ref="N137:Q137" si="23">N128+N136</f>
        <v>#REF!</v>
      </c>
      <c r="O137" s="30" t="e">
        <f t="shared" si="23"/>
        <v>#REF!</v>
      </c>
      <c r="P137" s="30" t="e">
        <f t="shared" si="23"/>
        <v>#REF!</v>
      </c>
      <c r="Q137" s="30" t="e">
        <f t="shared" si="23"/>
        <v>#REF!</v>
      </c>
      <c r="R137" s="30"/>
    </row>
    <row r="138" spans="2:18" ht="14.25" customHeight="1" x14ac:dyDescent="0.25">
      <c r="B138" s="159" t="s">
        <v>69</v>
      </c>
      <c r="C138" s="160"/>
      <c r="D138" s="160"/>
      <c r="E138" s="160"/>
      <c r="F138" s="160"/>
      <c r="G138" s="160"/>
      <c r="H138" s="160"/>
      <c r="I138" s="161"/>
      <c r="J138" s="147"/>
      <c r="K138" s="159" t="s">
        <v>69</v>
      </c>
      <c r="L138" s="160"/>
      <c r="M138" s="126"/>
      <c r="N138" s="126"/>
      <c r="O138" s="126"/>
      <c r="P138" s="126"/>
      <c r="Q138" s="126"/>
      <c r="R138" s="127"/>
    </row>
    <row r="139" spans="2:18" ht="14.25" customHeight="1" x14ac:dyDescent="0.25">
      <c r="B139" s="197" t="s">
        <v>3</v>
      </c>
      <c r="C139" s="162" t="s">
        <v>60</v>
      </c>
      <c r="D139" s="33">
        <v>200</v>
      </c>
      <c r="E139" s="33"/>
      <c r="F139" s="33"/>
      <c r="G139" s="33"/>
      <c r="H139" s="33"/>
      <c r="I139" s="33"/>
      <c r="J139" s="147"/>
      <c r="K139" s="197" t="s">
        <v>3</v>
      </c>
      <c r="L139" s="162" t="s">
        <v>60</v>
      </c>
      <c r="M139" s="1">
        <v>200</v>
      </c>
      <c r="N139" s="1"/>
      <c r="O139" s="1"/>
      <c r="P139" s="1"/>
      <c r="Q139" s="1"/>
      <c r="R139" s="1"/>
    </row>
    <row r="140" spans="2:18" ht="14.25" customHeight="1" x14ac:dyDescent="0.25">
      <c r="B140" s="197"/>
      <c r="C140" s="33" t="s">
        <v>4</v>
      </c>
      <c r="D140" s="33">
        <v>30</v>
      </c>
      <c r="E140" s="32"/>
      <c r="F140" s="32"/>
      <c r="G140" s="32"/>
      <c r="H140" s="32"/>
      <c r="I140" s="33"/>
      <c r="J140" s="147"/>
      <c r="K140" s="197"/>
      <c r="L140" s="33" t="s">
        <v>4</v>
      </c>
      <c r="M140" s="1">
        <v>30</v>
      </c>
      <c r="N140" s="6"/>
      <c r="O140" s="6"/>
      <c r="P140" s="6"/>
      <c r="Q140" s="6"/>
      <c r="R140" s="1"/>
    </row>
    <row r="141" spans="2:18" ht="14.25" customHeight="1" x14ac:dyDescent="0.25">
      <c r="B141" s="197"/>
      <c r="C141" s="168" t="s">
        <v>38</v>
      </c>
      <c r="D141" s="31">
        <v>200</v>
      </c>
      <c r="E141" s="31"/>
      <c r="F141" s="31"/>
      <c r="G141" s="31"/>
      <c r="H141" s="32"/>
      <c r="I141" s="31"/>
      <c r="J141" s="147"/>
      <c r="K141" s="197"/>
      <c r="L141" s="168" t="s">
        <v>38</v>
      </c>
      <c r="M141" s="3">
        <v>200</v>
      </c>
      <c r="N141" s="3"/>
      <c r="O141" s="3"/>
      <c r="P141" s="3"/>
      <c r="Q141" s="6"/>
      <c r="R141" s="3"/>
    </row>
    <row r="142" spans="2:18" ht="14.25" customHeight="1" x14ac:dyDescent="0.25">
      <c r="B142" s="197"/>
      <c r="C142" s="143" t="s">
        <v>14</v>
      </c>
      <c r="D142" s="33">
        <v>100</v>
      </c>
      <c r="E142" s="168">
        <v>0.27</v>
      </c>
      <c r="F142" s="168">
        <v>0.27</v>
      </c>
      <c r="G142" s="168">
        <v>6.53</v>
      </c>
      <c r="H142" s="32">
        <v>31.33</v>
      </c>
      <c r="I142" s="33"/>
      <c r="J142" s="147"/>
      <c r="K142" s="197"/>
      <c r="L142" s="143" t="s">
        <v>14</v>
      </c>
      <c r="M142" s="1">
        <v>100</v>
      </c>
      <c r="N142" s="2">
        <v>0.27</v>
      </c>
      <c r="O142" s="2">
        <v>0.27</v>
      </c>
      <c r="P142" s="2">
        <v>6.53</v>
      </c>
      <c r="Q142" s="6">
        <v>31.33</v>
      </c>
      <c r="R142" s="1"/>
    </row>
    <row r="143" spans="2:18" ht="14.25" customHeight="1" x14ac:dyDescent="0.25">
      <c r="B143" s="197"/>
      <c r="C143" s="168" t="s">
        <v>15</v>
      </c>
      <c r="D143" s="33">
        <v>200</v>
      </c>
      <c r="E143" s="168">
        <v>5.8</v>
      </c>
      <c r="F143" s="168">
        <v>6.4</v>
      </c>
      <c r="G143" s="168">
        <v>9.4</v>
      </c>
      <c r="H143" s="32">
        <v>120</v>
      </c>
      <c r="I143" s="33"/>
      <c r="J143" s="147"/>
      <c r="K143" s="197"/>
      <c r="L143" s="168" t="s">
        <v>15</v>
      </c>
      <c r="M143" s="1">
        <v>200</v>
      </c>
      <c r="N143" s="2">
        <v>5.8</v>
      </c>
      <c r="O143" s="2">
        <v>6.4</v>
      </c>
      <c r="P143" s="2">
        <v>9.4</v>
      </c>
      <c r="Q143" s="6">
        <v>120</v>
      </c>
      <c r="R143" s="1"/>
    </row>
    <row r="144" spans="2:18" ht="14.25" customHeight="1" x14ac:dyDescent="0.25">
      <c r="B144" s="187" t="s">
        <v>6</v>
      </c>
      <c r="C144" s="187"/>
      <c r="D144" s="170" t="e">
        <f>D139+D140+D141+D142+#REF!+D143</f>
        <v>#REF!</v>
      </c>
      <c r="E144" s="170" t="e">
        <f>E139+E140+E141+E142+#REF!+E143</f>
        <v>#REF!</v>
      </c>
      <c r="F144" s="170" t="e">
        <f>F139+F140+F141+F142+#REF!+F143</f>
        <v>#REF!</v>
      </c>
      <c r="G144" s="170" t="e">
        <f>G139+G140+G141+G142+#REF!+G143</f>
        <v>#REF!</v>
      </c>
      <c r="H144" s="170" t="e">
        <f>H139+H140+H141+H142+#REF!+H143</f>
        <v>#REF!</v>
      </c>
      <c r="I144" s="33"/>
      <c r="J144" s="147"/>
      <c r="K144" s="187" t="s">
        <v>6</v>
      </c>
      <c r="L144" s="187"/>
      <c r="M144" s="30" t="e">
        <f>M139+M140+M141+M142+#REF!+M143</f>
        <v>#REF!</v>
      </c>
      <c r="N144" s="30" t="e">
        <f>N139+N140+N141+N142+#REF!+N143</f>
        <v>#REF!</v>
      </c>
      <c r="O144" s="30" t="e">
        <f>O139+O140+O141+O142+#REF!+O143</f>
        <v>#REF!</v>
      </c>
      <c r="P144" s="30" t="e">
        <f>P139+P140+P141+P142+#REF!+P143</f>
        <v>#REF!</v>
      </c>
      <c r="Q144" s="30" t="e">
        <f>Q139+Q140+Q141+Q142+#REF!+Q143</f>
        <v>#REF!</v>
      </c>
      <c r="R144" s="1"/>
    </row>
    <row r="145" spans="2:18" ht="14.25" customHeight="1" x14ac:dyDescent="0.25">
      <c r="B145" s="194" t="s">
        <v>61</v>
      </c>
      <c r="C145" s="168" t="s">
        <v>72</v>
      </c>
      <c r="D145" s="31">
        <v>60</v>
      </c>
      <c r="E145" s="31"/>
      <c r="F145" s="31"/>
      <c r="G145" s="31"/>
      <c r="H145" s="32"/>
      <c r="I145" s="31"/>
      <c r="J145" s="147"/>
      <c r="K145" s="194" t="s">
        <v>61</v>
      </c>
      <c r="L145" s="168" t="s">
        <v>72</v>
      </c>
      <c r="M145" s="3">
        <v>100</v>
      </c>
      <c r="N145" s="3"/>
      <c r="O145" s="3"/>
      <c r="P145" s="3"/>
      <c r="Q145" s="6"/>
      <c r="R145" s="3"/>
    </row>
    <row r="146" spans="2:18" ht="14.25" customHeight="1" x14ac:dyDescent="0.25">
      <c r="B146" s="195"/>
      <c r="C146" s="168" t="s">
        <v>82</v>
      </c>
      <c r="D146" s="31">
        <v>200</v>
      </c>
      <c r="E146" s="31"/>
      <c r="F146" s="31"/>
      <c r="G146" s="31"/>
      <c r="H146" s="32"/>
      <c r="I146" s="31"/>
      <c r="J146" s="147"/>
      <c r="K146" s="195"/>
      <c r="L146" s="168" t="s">
        <v>82</v>
      </c>
      <c r="M146" s="3">
        <v>250</v>
      </c>
      <c r="N146" s="3"/>
      <c r="O146" s="3"/>
      <c r="P146" s="3"/>
      <c r="Q146" s="6"/>
      <c r="R146" s="3"/>
    </row>
    <row r="147" spans="2:18" ht="14.25" customHeight="1" x14ac:dyDescent="0.25">
      <c r="B147" s="195"/>
      <c r="C147" s="168" t="s">
        <v>83</v>
      </c>
      <c r="D147" s="33">
        <v>150</v>
      </c>
      <c r="E147" s="33"/>
      <c r="F147" s="33"/>
      <c r="G147" s="33"/>
      <c r="H147" s="34"/>
      <c r="I147" s="31"/>
      <c r="J147" s="147"/>
      <c r="K147" s="195"/>
      <c r="L147" s="168" t="s">
        <v>83</v>
      </c>
      <c r="M147" s="33">
        <v>180</v>
      </c>
      <c r="N147" s="33"/>
      <c r="O147" s="33"/>
      <c r="P147" s="33"/>
      <c r="Q147" s="34"/>
      <c r="R147" s="3"/>
    </row>
    <row r="148" spans="2:18" ht="14.25" customHeight="1" x14ac:dyDescent="0.25">
      <c r="B148" s="195"/>
      <c r="C148" s="168" t="s">
        <v>91</v>
      </c>
      <c r="D148" s="31">
        <v>200</v>
      </c>
      <c r="E148" s="176"/>
      <c r="F148" s="31"/>
      <c r="G148" s="177"/>
      <c r="H148" s="32"/>
      <c r="I148" s="31"/>
      <c r="J148" s="147"/>
      <c r="K148" s="195"/>
      <c r="L148" s="168" t="s">
        <v>91</v>
      </c>
      <c r="M148" s="3">
        <v>200</v>
      </c>
      <c r="N148" s="35"/>
      <c r="O148" s="3"/>
      <c r="P148" s="36"/>
      <c r="Q148" s="6"/>
      <c r="R148" s="3"/>
    </row>
    <row r="149" spans="2:18" ht="14.25" customHeight="1" x14ac:dyDescent="0.25">
      <c r="B149" s="195"/>
      <c r="C149" s="168" t="s">
        <v>4</v>
      </c>
      <c r="D149" s="31">
        <v>30</v>
      </c>
      <c r="E149" s="31"/>
      <c r="F149" s="31"/>
      <c r="G149" s="31"/>
      <c r="H149" s="32"/>
      <c r="I149" s="31"/>
      <c r="J149" s="147"/>
      <c r="K149" s="195"/>
      <c r="L149" s="168" t="s">
        <v>4</v>
      </c>
      <c r="M149" s="3">
        <v>30</v>
      </c>
      <c r="N149" s="3"/>
      <c r="O149" s="3"/>
      <c r="P149" s="3"/>
      <c r="Q149" s="6"/>
      <c r="R149" s="3"/>
    </row>
    <row r="150" spans="2:18" ht="14.25" customHeight="1" x14ac:dyDescent="0.25">
      <c r="B150" s="195"/>
      <c r="C150" s="168" t="s">
        <v>63</v>
      </c>
      <c r="D150" s="31">
        <v>40</v>
      </c>
      <c r="E150" s="32"/>
      <c r="F150" s="32"/>
      <c r="G150" s="32"/>
      <c r="H150" s="32"/>
      <c r="I150" s="33"/>
      <c r="J150" s="147"/>
      <c r="K150" s="195"/>
      <c r="L150" s="168" t="s">
        <v>63</v>
      </c>
      <c r="M150" s="3">
        <v>40</v>
      </c>
      <c r="N150" s="6"/>
      <c r="O150" s="6"/>
      <c r="P150" s="6"/>
      <c r="Q150" s="6"/>
      <c r="R150" s="1"/>
    </row>
    <row r="151" spans="2:18" ht="14.25" customHeight="1" x14ac:dyDescent="0.25">
      <c r="B151" s="187" t="s">
        <v>64</v>
      </c>
      <c r="C151" s="187"/>
      <c r="D151" s="170" t="e">
        <f>D145+D146+D147+#REF!+D149+D150</f>
        <v>#REF!</v>
      </c>
      <c r="E151" s="170" t="e">
        <f>E145+E146+E147+#REF!+E149+E150</f>
        <v>#REF!</v>
      </c>
      <c r="F151" s="170" t="e">
        <f>F145+F146+F147+#REF!+F149+F150</f>
        <v>#REF!</v>
      </c>
      <c r="G151" s="170" t="e">
        <f>G145+G146+G147+#REF!+G149+G150</f>
        <v>#REF!</v>
      </c>
      <c r="H151" s="170" t="e">
        <f>H145+H146+H147+#REF!+H149+H150</f>
        <v>#REF!</v>
      </c>
      <c r="I151" s="33"/>
      <c r="J151" s="147"/>
      <c r="K151" s="187" t="s">
        <v>64</v>
      </c>
      <c r="L151" s="187"/>
      <c r="M151" s="30" t="e">
        <f>M145+M146+M147+#REF!+M149+M150</f>
        <v>#REF!</v>
      </c>
      <c r="N151" s="30" t="e">
        <f>N145+N146+N147+#REF!+N149+N150</f>
        <v>#REF!</v>
      </c>
      <c r="O151" s="30" t="e">
        <f>O145+O146+O147+#REF!+O149+O150</f>
        <v>#REF!</v>
      </c>
      <c r="P151" s="30" t="e">
        <f>P145+P146+P147+#REF!+P149+P150</f>
        <v>#REF!</v>
      </c>
      <c r="Q151" s="30" t="e">
        <f>Q145+Q146+Q147+#REF!+Q149+Q150</f>
        <v>#REF!</v>
      </c>
      <c r="R151" s="1"/>
    </row>
    <row r="152" spans="2:18" ht="14.25" customHeight="1" x14ac:dyDescent="0.25">
      <c r="B152" s="187" t="s">
        <v>65</v>
      </c>
      <c r="C152" s="187"/>
      <c r="D152" s="170" t="e">
        <f>D144+D151</f>
        <v>#REF!</v>
      </c>
      <c r="E152" s="170" t="e">
        <f>E144+E151</f>
        <v>#REF!</v>
      </c>
      <c r="F152" s="170" t="e">
        <f>F144+F151</f>
        <v>#REF!</v>
      </c>
      <c r="G152" s="170" t="e">
        <f>G144+G151</f>
        <v>#REF!</v>
      </c>
      <c r="H152" s="170" t="e">
        <f>H144+H151</f>
        <v>#REF!</v>
      </c>
      <c r="I152" s="170"/>
      <c r="J152" s="147"/>
      <c r="K152" s="187" t="s">
        <v>65</v>
      </c>
      <c r="L152" s="187"/>
      <c r="M152" s="30" t="e">
        <f>M144+M151</f>
        <v>#REF!</v>
      </c>
      <c r="N152" s="30" t="e">
        <f>N144+N151</f>
        <v>#REF!</v>
      </c>
      <c r="O152" s="30" t="e">
        <f>O144+O151</f>
        <v>#REF!</v>
      </c>
      <c r="P152" s="30" t="e">
        <f>P144+P151</f>
        <v>#REF!</v>
      </c>
      <c r="Q152" s="30" t="e">
        <f>Q144+Q151</f>
        <v>#REF!</v>
      </c>
      <c r="R152" s="30"/>
    </row>
    <row r="153" spans="2:18" ht="14.25" customHeight="1" x14ac:dyDescent="0.25">
      <c r="B153" s="159" t="s">
        <v>71</v>
      </c>
      <c r="C153" s="160"/>
      <c r="D153" s="160"/>
      <c r="E153" s="160"/>
      <c r="F153" s="160"/>
      <c r="G153" s="160"/>
      <c r="H153" s="160"/>
      <c r="I153" s="161"/>
      <c r="J153" s="147"/>
      <c r="K153" s="159" t="s">
        <v>71</v>
      </c>
      <c r="L153" s="160"/>
      <c r="M153" s="126"/>
      <c r="N153" s="126"/>
      <c r="O153" s="126"/>
      <c r="P153" s="126"/>
      <c r="Q153" s="126"/>
      <c r="R153" s="127"/>
    </row>
    <row r="154" spans="2:18" ht="14.25" customHeight="1" x14ac:dyDescent="0.25">
      <c r="B154" s="197" t="s">
        <v>3</v>
      </c>
      <c r="C154" s="33" t="s">
        <v>88</v>
      </c>
      <c r="D154" s="33">
        <v>200</v>
      </c>
      <c r="E154" s="33"/>
      <c r="F154" s="33"/>
      <c r="G154" s="33"/>
      <c r="H154" s="33"/>
      <c r="I154" s="33"/>
      <c r="J154" s="147"/>
      <c r="K154" s="197" t="s">
        <v>3</v>
      </c>
      <c r="L154" s="33" t="s">
        <v>88</v>
      </c>
      <c r="M154" s="1">
        <v>200</v>
      </c>
      <c r="N154" s="1"/>
      <c r="O154" s="1"/>
      <c r="P154" s="1"/>
      <c r="Q154" s="1"/>
      <c r="R154" s="1"/>
    </row>
    <row r="155" spans="2:18" ht="14.25" customHeight="1" x14ac:dyDescent="0.25">
      <c r="B155" s="197"/>
      <c r="C155" s="33" t="s">
        <v>4</v>
      </c>
      <c r="D155" s="33">
        <v>30</v>
      </c>
      <c r="E155" s="33"/>
      <c r="F155" s="33"/>
      <c r="G155" s="33"/>
      <c r="H155" s="33"/>
      <c r="I155" s="33"/>
      <c r="J155" s="147"/>
      <c r="K155" s="197"/>
      <c r="L155" s="33" t="s">
        <v>4</v>
      </c>
      <c r="M155" s="1">
        <v>30</v>
      </c>
      <c r="N155" s="1"/>
      <c r="O155" s="1"/>
      <c r="P155" s="1"/>
      <c r="Q155" s="1"/>
      <c r="R155" s="1"/>
    </row>
    <row r="156" spans="2:18" ht="14.25" customHeight="1" x14ac:dyDescent="0.25">
      <c r="B156" s="197"/>
      <c r="C156" s="168" t="s">
        <v>5</v>
      </c>
      <c r="D156" s="31">
        <v>200</v>
      </c>
      <c r="E156" s="31"/>
      <c r="F156" s="31"/>
      <c r="G156" s="31"/>
      <c r="H156" s="31"/>
      <c r="I156" s="31"/>
      <c r="J156" s="147"/>
      <c r="K156" s="197"/>
      <c r="L156" s="168" t="s">
        <v>5</v>
      </c>
      <c r="M156" s="3">
        <v>200</v>
      </c>
      <c r="N156" s="3"/>
      <c r="O156" s="3"/>
      <c r="P156" s="3"/>
      <c r="Q156" s="3"/>
      <c r="R156" s="3"/>
    </row>
    <row r="157" spans="2:18" ht="14.25" customHeight="1" x14ac:dyDescent="0.25">
      <c r="B157" s="197"/>
      <c r="C157" s="143" t="s">
        <v>14</v>
      </c>
      <c r="D157" s="33">
        <v>100</v>
      </c>
      <c r="E157" s="168">
        <v>0.27</v>
      </c>
      <c r="F157" s="168">
        <v>0.27</v>
      </c>
      <c r="G157" s="168">
        <v>6.53</v>
      </c>
      <c r="H157" s="32">
        <v>31.33</v>
      </c>
      <c r="I157" s="33"/>
      <c r="J157" s="147"/>
      <c r="K157" s="197"/>
      <c r="L157" s="143" t="s">
        <v>14</v>
      </c>
      <c r="M157" s="1">
        <v>100</v>
      </c>
      <c r="N157" s="2">
        <v>0.27</v>
      </c>
      <c r="O157" s="2">
        <v>0.27</v>
      </c>
      <c r="P157" s="2">
        <v>6.53</v>
      </c>
      <c r="Q157" s="6">
        <v>31.33</v>
      </c>
      <c r="R157" s="1"/>
    </row>
    <row r="158" spans="2:18" ht="14.25" customHeight="1" x14ac:dyDescent="0.25">
      <c r="B158" s="197"/>
      <c r="C158" s="168" t="s">
        <v>15</v>
      </c>
      <c r="D158" s="33">
        <v>200</v>
      </c>
      <c r="E158" s="168">
        <v>5.8</v>
      </c>
      <c r="F158" s="168">
        <v>6.4</v>
      </c>
      <c r="G158" s="168">
        <v>9.4</v>
      </c>
      <c r="H158" s="32">
        <v>120</v>
      </c>
      <c r="I158" s="33"/>
      <c r="J158" s="147"/>
      <c r="K158" s="197"/>
      <c r="L158" s="168" t="s">
        <v>15</v>
      </c>
      <c r="M158" s="1">
        <v>200</v>
      </c>
      <c r="N158" s="2">
        <v>5.8</v>
      </c>
      <c r="O158" s="2">
        <v>6.4</v>
      </c>
      <c r="P158" s="2">
        <v>9.4</v>
      </c>
      <c r="Q158" s="6">
        <v>120</v>
      </c>
      <c r="R158" s="1"/>
    </row>
    <row r="159" spans="2:18" ht="14.25" customHeight="1" x14ac:dyDescent="0.25">
      <c r="B159" s="187" t="s">
        <v>6</v>
      </c>
      <c r="C159" s="187"/>
      <c r="D159" s="170" t="e">
        <f>D156+D157+#REF!+D158+233</f>
        <v>#REF!</v>
      </c>
      <c r="E159" s="170" t="e">
        <f>E154+E156+E157+#REF!+E158</f>
        <v>#REF!</v>
      </c>
      <c r="F159" s="170" t="e">
        <f>F154+F156+F157+#REF!+F158</f>
        <v>#REF!</v>
      </c>
      <c r="G159" s="170" t="e">
        <f>G154+G156+G157+#REF!+G158</f>
        <v>#REF!</v>
      </c>
      <c r="H159" s="170" t="e">
        <f>H154+H156+H157+#REF!+H158</f>
        <v>#REF!</v>
      </c>
      <c r="I159" s="33"/>
      <c r="J159" s="147"/>
      <c r="K159" s="187" t="s">
        <v>6</v>
      </c>
      <c r="L159" s="187"/>
      <c r="M159" s="30" t="e">
        <f>M156+M157+#REF!+M158+233</f>
        <v>#REF!</v>
      </c>
      <c r="N159" s="30" t="e">
        <f>N154+N156+N157+#REF!+N158</f>
        <v>#REF!</v>
      </c>
      <c r="O159" s="30" t="e">
        <f>O154+O156+O157+#REF!+O158</f>
        <v>#REF!</v>
      </c>
      <c r="P159" s="30" t="e">
        <f>P154+P156+P157+#REF!+P158</f>
        <v>#REF!</v>
      </c>
      <c r="Q159" s="30" t="e">
        <f>Q154+Q156+Q157+#REF!+Q158</f>
        <v>#REF!</v>
      </c>
      <c r="R159" s="1"/>
    </row>
    <row r="160" spans="2:18" ht="15.75" customHeight="1" x14ac:dyDescent="0.25">
      <c r="B160" s="194" t="s">
        <v>61</v>
      </c>
      <c r="C160" s="172" t="s">
        <v>77</v>
      </c>
      <c r="D160" s="31">
        <v>60</v>
      </c>
      <c r="E160" s="31"/>
      <c r="F160" s="31"/>
      <c r="G160" s="31"/>
      <c r="H160" s="32"/>
      <c r="I160" s="31"/>
      <c r="J160" s="147"/>
      <c r="K160" s="194" t="s">
        <v>61</v>
      </c>
      <c r="L160" s="172" t="s">
        <v>77</v>
      </c>
      <c r="M160" s="3">
        <v>60</v>
      </c>
      <c r="N160" s="3"/>
      <c r="O160" s="3"/>
      <c r="P160" s="3"/>
      <c r="Q160" s="6"/>
      <c r="R160" s="3"/>
    </row>
    <row r="161" spans="2:18" ht="14.25" customHeight="1" x14ac:dyDescent="0.25">
      <c r="B161" s="195"/>
      <c r="C161" s="168" t="s">
        <v>106</v>
      </c>
      <c r="D161" s="31">
        <v>200</v>
      </c>
      <c r="E161" s="33"/>
      <c r="F161" s="33"/>
      <c r="G161" s="33"/>
      <c r="H161" s="34"/>
      <c r="I161" s="31"/>
      <c r="J161" s="147"/>
      <c r="K161" s="195"/>
      <c r="L161" s="168" t="s">
        <v>106</v>
      </c>
      <c r="M161" s="3">
        <v>200</v>
      </c>
      <c r="N161" s="33"/>
      <c r="O161" s="33"/>
      <c r="P161" s="33"/>
      <c r="Q161" s="34"/>
      <c r="R161" s="3"/>
    </row>
    <row r="162" spans="2:18" ht="14.25" customHeight="1" x14ac:dyDescent="0.25">
      <c r="B162" s="195"/>
      <c r="C162" s="168" t="s">
        <v>62</v>
      </c>
      <c r="D162" s="33">
        <v>150</v>
      </c>
      <c r="E162" s="31"/>
      <c r="F162" s="31"/>
      <c r="G162" s="31"/>
      <c r="H162" s="32"/>
      <c r="I162" s="31"/>
      <c r="J162" s="147"/>
      <c r="K162" s="195"/>
      <c r="L162" s="168" t="s">
        <v>62</v>
      </c>
      <c r="M162" s="3">
        <v>180</v>
      </c>
      <c r="N162" s="3"/>
      <c r="O162" s="3"/>
      <c r="P162" s="3"/>
      <c r="Q162" s="6"/>
      <c r="R162" s="3"/>
    </row>
    <row r="163" spans="2:18" ht="14.25" customHeight="1" x14ac:dyDescent="0.25">
      <c r="B163" s="195"/>
      <c r="C163" s="122" t="s">
        <v>70</v>
      </c>
      <c r="D163" s="31">
        <v>90</v>
      </c>
      <c r="E163" s="31"/>
      <c r="F163" s="31"/>
      <c r="G163" s="31"/>
      <c r="H163" s="32"/>
      <c r="I163" s="31"/>
      <c r="J163" s="147"/>
      <c r="K163" s="195"/>
      <c r="L163" s="122" t="s">
        <v>70</v>
      </c>
      <c r="M163" s="3"/>
      <c r="N163" s="3"/>
      <c r="O163" s="3"/>
      <c r="P163" s="3"/>
      <c r="Q163" s="6"/>
      <c r="R163" s="3"/>
    </row>
    <row r="164" spans="2:18" ht="27.75" customHeight="1" x14ac:dyDescent="0.25">
      <c r="B164" s="195"/>
      <c r="C164" s="168" t="s">
        <v>292</v>
      </c>
      <c r="D164" s="31">
        <v>200</v>
      </c>
      <c r="E164" s="31"/>
      <c r="F164" s="31"/>
      <c r="G164" s="31"/>
      <c r="H164" s="32"/>
      <c r="I164" s="31"/>
      <c r="J164" s="147"/>
      <c r="K164" s="195"/>
      <c r="L164" s="168" t="s">
        <v>292</v>
      </c>
      <c r="M164" s="3">
        <v>200</v>
      </c>
      <c r="N164" s="3"/>
      <c r="O164" s="3"/>
      <c r="P164" s="3"/>
      <c r="Q164" s="6"/>
      <c r="R164" s="3"/>
    </row>
    <row r="165" spans="2:18" ht="14.25" customHeight="1" x14ac:dyDescent="0.25">
      <c r="B165" s="195"/>
      <c r="C165" s="168" t="s">
        <v>4</v>
      </c>
      <c r="D165" s="31">
        <v>30</v>
      </c>
      <c r="E165" s="31"/>
      <c r="F165" s="31"/>
      <c r="G165" s="31"/>
      <c r="H165" s="32"/>
      <c r="I165" s="33"/>
      <c r="J165" s="147"/>
      <c r="K165" s="195"/>
      <c r="L165" s="168" t="s">
        <v>4</v>
      </c>
      <c r="M165" s="3">
        <v>30</v>
      </c>
      <c r="N165" s="3"/>
      <c r="O165" s="3"/>
      <c r="P165" s="3"/>
      <c r="Q165" s="6"/>
      <c r="R165" s="1"/>
    </row>
    <row r="166" spans="2:18" ht="14.25" customHeight="1" x14ac:dyDescent="0.25">
      <c r="B166" s="196"/>
      <c r="C166" s="168" t="s">
        <v>63</v>
      </c>
      <c r="D166" s="31">
        <v>40</v>
      </c>
      <c r="E166" s="32"/>
      <c r="F166" s="32"/>
      <c r="G166" s="32"/>
      <c r="H166" s="32"/>
      <c r="I166" s="33"/>
      <c r="J166" s="147"/>
      <c r="K166" s="196"/>
      <c r="L166" s="168" t="s">
        <v>63</v>
      </c>
      <c r="M166" s="3">
        <v>40</v>
      </c>
      <c r="N166" s="6"/>
      <c r="O166" s="6"/>
      <c r="P166" s="6"/>
      <c r="Q166" s="6"/>
      <c r="R166" s="1"/>
    </row>
    <row r="167" spans="2:18" ht="14.25" customHeight="1" x14ac:dyDescent="0.25">
      <c r="B167" s="187" t="s">
        <v>64</v>
      </c>
      <c r="C167" s="187"/>
      <c r="D167" s="170">
        <f>D160+D161+D162+D164+D165+D166</f>
        <v>680</v>
      </c>
      <c r="E167" s="170">
        <f t="shared" ref="E167:H167" si="24">E160+E161+E162+E164+E165+E166</f>
        <v>0</v>
      </c>
      <c r="F167" s="170">
        <f t="shared" si="24"/>
        <v>0</v>
      </c>
      <c r="G167" s="170">
        <f t="shared" si="24"/>
        <v>0</v>
      </c>
      <c r="H167" s="170">
        <f t="shared" si="24"/>
        <v>0</v>
      </c>
      <c r="I167" s="33"/>
      <c r="J167" s="147"/>
      <c r="K167" s="187" t="s">
        <v>64</v>
      </c>
      <c r="L167" s="187"/>
      <c r="M167" s="30">
        <f>M160+M161+M162+M164+M165+M166</f>
        <v>710</v>
      </c>
      <c r="N167" s="30">
        <f t="shared" ref="N167:Q167" si="25">N160+N161+N162+N164+N165+N166</f>
        <v>0</v>
      </c>
      <c r="O167" s="30">
        <f t="shared" si="25"/>
        <v>0</v>
      </c>
      <c r="P167" s="30">
        <f t="shared" si="25"/>
        <v>0</v>
      </c>
      <c r="Q167" s="30">
        <f t="shared" si="25"/>
        <v>0</v>
      </c>
      <c r="R167" s="1"/>
    </row>
    <row r="168" spans="2:18" ht="14.25" customHeight="1" x14ac:dyDescent="0.25">
      <c r="B168" s="187" t="s">
        <v>65</v>
      </c>
      <c r="C168" s="187"/>
      <c r="D168" s="170" t="e">
        <f>D159+D167</f>
        <v>#REF!</v>
      </c>
      <c r="E168" s="170" t="e">
        <f>E159+E167</f>
        <v>#REF!</v>
      </c>
      <c r="F168" s="170" t="e">
        <f>F159+F167</f>
        <v>#REF!</v>
      </c>
      <c r="G168" s="170" t="e">
        <f>G159+G167</f>
        <v>#REF!</v>
      </c>
      <c r="H168" s="170" t="e">
        <f>H159+H167</f>
        <v>#REF!</v>
      </c>
      <c r="I168" s="170"/>
      <c r="J168" s="147"/>
      <c r="K168" s="187" t="s">
        <v>65</v>
      </c>
      <c r="L168" s="187"/>
      <c r="M168" s="30" t="e">
        <f>M159+M167</f>
        <v>#REF!</v>
      </c>
      <c r="N168" s="30" t="e">
        <f>N159+N167</f>
        <v>#REF!</v>
      </c>
      <c r="O168" s="30" t="e">
        <f>O159+O167</f>
        <v>#REF!</v>
      </c>
      <c r="P168" s="30" t="e">
        <f>P159+P167</f>
        <v>#REF!</v>
      </c>
      <c r="Q168" s="30" t="e">
        <f>Q159+Q167</f>
        <v>#REF!</v>
      </c>
      <c r="R168" s="30"/>
    </row>
    <row r="169" spans="2:18" ht="14.25" customHeight="1" x14ac:dyDescent="0.25">
      <c r="B169" s="159" t="s">
        <v>75</v>
      </c>
      <c r="C169" s="160"/>
      <c r="D169" s="160"/>
      <c r="E169" s="160"/>
      <c r="F169" s="160"/>
      <c r="G169" s="160"/>
      <c r="H169" s="160"/>
      <c r="I169" s="161"/>
      <c r="J169" s="147"/>
      <c r="K169" s="159" t="s">
        <v>75</v>
      </c>
      <c r="L169" s="160"/>
      <c r="M169" s="126"/>
      <c r="N169" s="126"/>
      <c r="O169" s="126"/>
      <c r="P169" s="126"/>
      <c r="Q169" s="126"/>
      <c r="R169" s="127"/>
    </row>
    <row r="170" spans="2:18" ht="14.25" customHeight="1" x14ac:dyDescent="0.25">
      <c r="B170" s="194" t="s">
        <v>3</v>
      </c>
      <c r="C170" s="162" t="s">
        <v>80</v>
      </c>
      <c r="D170" s="33">
        <v>200</v>
      </c>
      <c r="E170" s="34"/>
      <c r="F170" s="34"/>
      <c r="G170" s="39"/>
      <c r="H170" s="34"/>
      <c r="I170" s="33"/>
      <c r="J170" s="147"/>
      <c r="K170" s="194" t="s">
        <v>3</v>
      </c>
      <c r="L170" s="162" t="s">
        <v>80</v>
      </c>
      <c r="M170" s="1">
        <v>200</v>
      </c>
      <c r="N170" s="34"/>
      <c r="O170" s="34"/>
      <c r="P170" s="39"/>
      <c r="Q170" s="34"/>
      <c r="R170" s="1"/>
    </row>
    <row r="171" spans="2:18" ht="14.25" customHeight="1" x14ac:dyDescent="0.25">
      <c r="B171" s="195"/>
      <c r="C171" s="162" t="s">
        <v>4</v>
      </c>
      <c r="D171" s="33">
        <v>30</v>
      </c>
      <c r="E171" s="33"/>
      <c r="F171" s="33"/>
      <c r="G171" s="33"/>
      <c r="H171" s="33"/>
      <c r="I171" s="33"/>
      <c r="J171" s="147"/>
      <c r="K171" s="195"/>
      <c r="L171" s="162" t="s">
        <v>4</v>
      </c>
      <c r="M171" s="1">
        <v>30</v>
      </c>
      <c r="N171" s="1"/>
      <c r="O171" s="1"/>
      <c r="P171" s="1"/>
      <c r="Q171" s="1"/>
      <c r="R171" s="1"/>
    </row>
    <row r="172" spans="2:18" ht="14.25" customHeight="1" x14ac:dyDescent="0.25">
      <c r="B172" s="195"/>
      <c r="C172" s="168" t="s">
        <v>89</v>
      </c>
      <c r="D172" s="31">
        <v>200</v>
      </c>
      <c r="E172" s="31"/>
      <c r="F172" s="31"/>
      <c r="G172" s="31"/>
      <c r="H172" s="32"/>
      <c r="I172" s="31"/>
      <c r="J172" s="147"/>
      <c r="K172" s="195"/>
      <c r="L172" s="168" t="s">
        <v>89</v>
      </c>
      <c r="M172" s="3">
        <v>200</v>
      </c>
      <c r="N172" s="3"/>
      <c r="O172" s="3"/>
      <c r="P172" s="3"/>
      <c r="Q172" s="6"/>
      <c r="R172" s="3"/>
    </row>
    <row r="173" spans="2:18" ht="14.25" customHeight="1" x14ac:dyDescent="0.25">
      <c r="B173" s="195"/>
      <c r="C173" s="143" t="s">
        <v>14</v>
      </c>
      <c r="D173" s="33">
        <v>100</v>
      </c>
      <c r="E173" s="168">
        <v>0.27</v>
      </c>
      <c r="F173" s="168">
        <v>0.27</v>
      </c>
      <c r="G173" s="168">
        <v>6.53</v>
      </c>
      <c r="H173" s="32">
        <v>31.33</v>
      </c>
      <c r="I173" s="33"/>
      <c r="J173" s="147"/>
      <c r="K173" s="195"/>
      <c r="L173" s="143" t="s">
        <v>14</v>
      </c>
      <c r="M173" s="1">
        <v>100</v>
      </c>
      <c r="N173" s="2">
        <v>0.27</v>
      </c>
      <c r="O173" s="2">
        <v>0.27</v>
      </c>
      <c r="P173" s="2">
        <v>6.53</v>
      </c>
      <c r="Q173" s="6">
        <v>31.33</v>
      </c>
      <c r="R173" s="1"/>
    </row>
    <row r="174" spans="2:18" ht="14.25" customHeight="1" x14ac:dyDescent="0.25">
      <c r="B174" s="196"/>
      <c r="C174" s="168" t="s">
        <v>15</v>
      </c>
      <c r="D174" s="33">
        <v>200</v>
      </c>
      <c r="E174" s="168">
        <v>5.8</v>
      </c>
      <c r="F174" s="168">
        <v>6.4</v>
      </c>
      <c r="G174" s="168">
        <v>9.4</v>
      </c>
      <c r="H174" s="32">
        <v>120</v>
      </c>
      <c r="I174" s="33"/>
      <c r="J174" s="147"/>
      <c r="K174" s="196"/>
      <c r="L174" s="168" t="s">
        <v>15</v>
      </c>
      <c r="M174" s="1">
        <v>200</v>
      </c>
      <c r="N174" s="2">
        <v>5.8</v>
      </c>
      <c r="O174" s="2">
        <v>6.4</v>
      </c>
      <c r="P174" s="2">
        <v>9.4</v>
      </c>
      <c r="Q174" s="6">
        <v>120</v>
      </c>
      <c r="R174" s="1"/>
    </row>
    <row r="175" spans="2:18" ht="14.25" customHeight="1" x14ac:dyDescent="0.25">
      <c r="B175" s="187" t="s">
        <v>6</v>
      </c>
      <c r="C175" s="187"/>
      <c r="D175" s="178" t="e">
        <f>D170+D171+D172+D173+#REF!+D174</f>
        <v>#REF!</v>
      </c>
      <c r="E175" s="170" t="e">
        <f>E170+E171+E172+E173+#REF!+E174</f>
        <v>#REF!</v>
      </c>
      <c r="F175" s="170" t="e">
        <f>F170+F171+F172+F173+#REF!+F174</f>
        <v>#REF!</v>
      </c>
      <c r="G175" s="170" t="e">
        <f>G170+G171+G172+G173+#REF!+G174</f>
        <v>#REF!</v>
      </c>
      <c r="H175" s="170" t="e">
        <f>H170+H171+H172+H173+#REF!+H174</f>
        <v>#REF!</v>
      </c>
      <c r="I175" s="33"/>
      <c r="J175" s="147"/>
      <c r="K175" s="187" t="s">
        <v>6</v>
      </c>
      <c r="L175" s="187"/>
      <c r="M175" s="40" t="e">
        <f>M170+M171+M172+M173+#REF!+M174</f>
        <v>#REF!</v>
      </c>
      <c r="N175" s="30" t="e">
        <f>N170+N171+N172+N173+#REF!+N174</f>
        <v>#REF!</v>
      </c>
      <c r="O175" s="30" t="e">
        <f>O170+O171+O172+O173+#REF!+O174</f>
        <v>#REF!</v>
      </c>
      <c r="P175" s="30" t="e">
        <f>P170+P171+P172+P173+#REF!+P174</f>
        <v>#REF!</v>
      </c>
      <c r="Q175" s="30" t="e">
        <f>Q170+Q171+Q172+Q173+#REF!+Q174</f>
        <v>#REF!</v>
      </c>
      <c r="R175" s="1"/>
    </row>
    <row r="176" spans="2:18" ht="14.25" customHeight="1" x14ac:dyDescent="0.25">
      <c r="B176" s="162" t="s">
        <v>61</v>
      </c>
      <c r="C176" s="168" t="s">
        <v>105</v>
      </c>
      <c r="D176" s="31">
        <v>60</v>
      </c>
      <c r="E176" s="31"/>
      <c r="F176" s="31"/>
      <c r="G176" s="31"/>
      <c r="H176" s="32"/>
      <c r="I176" s="31"/>
      <c r="J176" s="147"/>
      <c r="K176" s="162" t="s">
        <v>61</v>
      </c>
      <c r="L176" s="168" t="s">
        <v>105</v>
      </c>
      <c r="M176" s="3">
        <v>60</v>
      </c>
      <c r="N176" s="3"/>
      <c r="O176" s="3"/>
      <c r="P176" s="3"/>
      <c r="Q176" s="6"/>
      <c r="R176" s="3"/>
    </row>
    <row r="177" spans="2:18" ht="30.75" customHeight="1" x14ac:dyDescent="0.25">
      <c r="B177" s="162"/>
      <c r="C177" s="168" t="s">
        <v>301</v>
      </c>
      <c r="D177" s="31">
        <v>200</v>
      </c>
      <c r="E177" s="31"/>
      <c r="F177" s="31"/>
      <c r="G177" s="31"/>
      <c r="H177" s="32"/>
      <c r="I177" s="31"/>
      <c r="J177" s="147"/>
      <c r="K177" s="162"/>
      <c r="L177" s="168" t="s">
        <v>301</v>
      </c>
      <c r="M177" s="3">
        <v>200</v>
      </c>
      <c r="N177" s="3"/>
      <c r="O177" s="3"/>
      <c r="P177" s="3"/>
      <c r="Q177" s="6"/>
      <c r="R177" s="3"/>
    </row>
    <row r="178" spans="2:18" ht="14.25" customHeight="1" x14ac:dyDescent="0.25">
      <c r="B178" s="162"/>
      <c r="C178" s="168" t="s">
        <v>109</v>
      </c>
      <c r="D178" s="31">
        <v>150</v>
      </c>
      <c r="E178" s="31"/>
      <c r="F178" s="31"/>
      <c r="G178" s="31"/>
      <c r="H178" s="32"/>
      <c r="I178" s="31"/>
      <c r="J178" s="147"/>
      <c r="K178" s="162"/>
      <c r="L178" s="168" t="s">
        <v>109</v>
      </c>
      <c r="M178" s="3">
        <v>150</v>
      </c>
      <c r="N178" s="3"/>
      <c r="O178" s="3"/>
      <c r="P178" s="3"/>
      <c r="Q178" s="6"/>
      <c r="R178" s="3"/>
    </row>
    <row r="179" spans="2:18" ht="14.25" customHeight="1" x14ac:dyDescent="0.25">
      <c r="B179" s="162"/>
      <c r="C179" s="168" t="s">
        <v>74</v>
      </c>
      <c r="D179" s="31">
        <v>90</v>
      </c>
      <c r="E179" s="31"/>
      <c r="F179" s="31"/>
      <c r="G179" s="31"/>
      <c r="H179" s="32"/>
      <c r="I179" s="31"/>
      <c r="J179" s="147"/>
      <c r="K179" s="162"/>
      <c r="L179" s="168" t="s">
        <v>74</v>
      </c>
      <c r="M179" s="3">
        <v>90</v>
      </c>
      <c r="N179" s="3"/>
      <c r="O179" s="3"/>
      <c r="P179" s="3"/>
      <c r="Q179" s="6"/>
      <c r="R179" s="3"/>
    </row>
    <row r="180" spans="2:18" ht="14.25" customHeight="1" x14ac:dyDescent="0.25">
      <c r="B180" s="162"/>
      <c r="C180" s="168" t="s">
        <v>91</v>
      </c>
      <c r="D180" s="33">
        <v>200</v>
      </c>
      <c r="E180" s="33"/>
      <c r="F180" s="33"/>
      <c r="G180" s="33"/>
      <c r="H180" s="34"/>
      <c r="I180" s="31"/>
      <c r="J180" s="147"/>
      <c r="K180" s="162"/>
      <c r="L180" s="168" t="s">
        <v>91</v>
      </c>
      <c r="M180" s="33">
        <v>200</v>
      </c>
      <c r="N180" s="33"/>
      <c r="O180" s="33"/>
      <c r="P180" s="33"/>
      <c r="Q180" s="34"/>
      <c r="R180" s="3"/>
    </row>
    <row r="181" spans="2:18" ht="14.25" customHeight="1" x14ac:dyDescent="0.25">
      <c r="B181" s="162"/>
      <c r="C181" s="168" t="s">
        <v>4</v>
      </c>
      <c r="D181" s="31">
        <v>30</v>
      </c>
      <c r="E181" s="31"/>
      <c r="F181" s="31"/>
      <c r="G181" s="31"/>
      <c r="H181" s="32"/>
      <c r="I181" s="33"/>
      <c r="J181" s="147"/>
      <c r="K181" s="162"/>
      <c r="L181" s="168" t="s">
        <v>4</v>
      </c>
      <c r="M181" s="3">
        <v>30</v>
      </c>
      <c r="N181" s="3"/>
      <c r="O181" s="3"/>
      <c r="P181" s="3"/>
      <c r="Q181" s="6"/>
      <c r="R181" s="1"/>
    </row>
    <row r="182" spans="2:18" ht="14.25" customHeight="1" x14ac:dyDescent="0.25">
      <c r="B182" s="162"/>
      <c r="C182" s="168" t="s">
        <v>63</v>
      </c>
      <c r="D182" s="31">
        <v>40</v>
      </c>
      <c r="E182" s="32"/>
      <c r="F182" s="32"/>
      <c r="G182" s="32"/>
      <c r="H182" s="32"/>
      <c r="I182" s="33"/>
      <c r="J182" s="147"/>
      <c r="K182" s="162"/>
      <c r="L182" s="168" t="s">
        <v>63</v>
      </c>
      <c r="M182" s="3">
        <v>40</v>
      </c>
      <c r="N182" s="6"/>
      <c r="O182" s="6"/>
      <c r="P182" s="6"/>
      <c r="Q182" s="6"/>
      <c r="R182" s="1"/>
    </row>
    <row r="183" spans="2:18" ht="14.25" customHeight="1" x14ac:dyDescent="0.25">
      <c r="B183" s="187" t="s">
        <v>64</v>
      </c>
      <c r="C183" s="187"/>
      <c r="D183" s="170">
        <f>D176+D177+D178+D180+D181+D182</f>
        <v>680</v>
      </c>
      <c r="E183" s="170">
        <f t="shared" ref="E183:H183" si="26">E176+E177+E178+E180+E181+E182</f>
        <v>0</v>
      </c>
      <c r="F183" s="170">
        <f t="shared" si="26"/>
        <v>0</v>
      </c>
      <c r="G183" s="170">
        <f t="shared" si="26"/>
        <v>0</v>
      </c>
      <c r="H183" s="170">
        <f t="shared" si="26"/>
        <v>0</v>
      </c>
      <c r="I183" s="33"/>
      <c r="J183" s="147"/>
      <c r="K183" s="187" t="s">
        <v>64</v>
      </c>
      <c r="L183" s="187"/>
      <c r="M183" s="30">
        <f>M176+M177+M178+M180+M181+M182</f>
        <v>680</v>
      </c>
      <c r="N183" s="30">
        <f t="shared" ref="N183:Q183" si="27">N176+N177+N178+N180+N181+N182</f>
        <v>0</v>
      </c>
      <c r="O183" s="30">
        <f t="shared" si="27"/>
        <v>0</v>
      </c>
      <c r="P183" s="30">
        <f t="shared" si="27"/>
        <v>0</v>
      </c>
      <c r="Q183" s="30">
        <f t="shared" si="27"/>
        <v>0</v>
      </c>
      <c r="R183" s="1"/>
    </row>
    <row r="184" spans="2:18" ht="14.25" customHeight="1" x14ac:dyDescent="0.25">
      <c r="B184" s="187" t="s">
        <v>65</v>
      </c>
      <c r="C184" s="187"/>
      <c r="D184" s="178" t="e">
        <f>D175+D183</f>
        <v>#REF!</v>
      </c>
      <c r="E184" s="178" t="e">
        <f t="shared" ref="E184:H184" si="28">E175+E183</f>
        <v>#REF!</v>
      </c>
      <c r="F184" s="178" t="e">
        <f t="shared" si="28"/>
        <v>#REF!</v>
      </c>
      <c r="G184" s="178" t="e">
        <f t="shared" si="28"/>
        <v>#REF!</v>
      </c>
      <c r="H184" s="178" t="e">
        <f t="shared" si="28"/>
        <v>#REF!</v>
      </c>
      <c r="I184" s="170"/>
      <c r="J184" s="147"/>
      <c r="K184" s="187" t="s">
        <v>65</v>
      </c>
      <c r="L184" s="187"/>
      <c r="M184" s="40" t="e">
        <f>M175+M183</f>
        <v>#REF!</v>
      </c>
      <c r="N184" s="40" t="e">
        <f t="shared" ref="N184:Q184" si="29">N175+N183</f>
        <v>#REF!</v>
      </c>
      <c r="O184" s="40" t="e">
        <f t="shared" si="29"/>
        <v>#REF!</v>
      </c>
      <c r="P184" s="40" t="e">
        <f t="shared" si="29"/>
        <v>#REF!</v>
      </c>
      <c r="Q184" s="40" t="e">
        <f t="shared" si="29"/>
        <v>#REF!</v>
      </c>
      <c r="R184" s="30"/>
    </row>
    <row r="185" spans="2:18" ht="14.25" customHeight="1" x14ac:dyDescent="0.25">
      <c r="B185" s="188" t="s">
        <v>84</v>
      </c>
      <c r="C185" s="189"/>
      <c r="D185" s="170" t="e">
        <f>(D43+D58+D72+D88+D104+D121+D137+D152+D168+D184)/10</f>
        <v>#REF!</v>
      </c>
      <c r="E185" s="170" t="e">
        <f>(E43+E58+E72+E88+E104+E121+E137+E152+E168+E184)/10</f>
        <v>#REF!</v>
      </c>
      <c r="F185" s="170" t="e">
        <f>(F43+F58+F72+F88+F104+F121+F137+F152+F168+F184)/10</f>
        <v>#REF!</v>
      </c>
      <c r="G185" s="170" t="e">
        <f>(G43+G58+G72+G88+G104+G121+G137+G152+G168+G184)/10</f>
        <v>#REF!</v>
      </c>
      <c r="H185" s="170" t="e">
        <f>(H43+H58+H72+H88+H104+H121+H137+H152+H168+H184)/10</f>
        <v>#REF!</v>
      </c>
      <c r="I185" s="33"/>
      <c r="J185" s="147"/>
      <c r="K185" s="188" t="s">
        <v>84</v>
      </c>
      <c r="L185" s="189"/>
      <c r="M185" s="30" t="e">
        <f>(M43+M58+M72+M88+M104+M121+M137+M152+M168+M184)/10</f>
        <v>#REF!</v>
      </c>
      <c r="N185" s="30" t="e">
        <f>(N43+N58+N72+N88+N104+N121+N137+N152+N168+N184)/10</f>
        <v>#REF!</v>
      </c>
      <c r="O185" s="30" t="e">
        <f>(O43+O58+O72+O88+O104+O121+O137+O152+O168+O184)/10</f>
        <v>#REF!</v>
      </c>
      <c r="P185" s="30" t="e">
        <f>(P43+P58+P72+P88+P104+P121+P137+P152+P168+P184)/10</f>
        <v>#REF!</v>
      </c>
      <c r="Q185" s="30" t="e">
        <f>(Q43+Q58+Q72+Q88+Q104+Q121+Q137+Q152+Q168+Q184)/10</f>
        <v>#REF!</v>
      </c>
      <c r="R185" s="1"/>
    </row>
    <row r="186" spans="2:18" ht="14.25" customHeight="1" x14ac:dyDescent="0.25">
      <c r="B186" s="213" t="s">
        <v>85</v>
      </c>
      <c r="C186" s="214"/>
      <c r="D186" s="215"/>
      <c r="E186" s="179">
        <v>46.2</v>
      </c>
      <c r="F186" s="179">
        <v>47.4</v>
      </c>
      <c r="G186" s="179">
        <v>201</v>
      </c>
      <c r="H186" s="179">
        <v>1410</v>
      </c>
      <c r="I186" s="33"/>
      <c r="J186" s="147"/>
      <c r="K186" s="190" t="s">
        <v>85</v>
      </c>
      <c r="L186" s="191"/>
      <c r="M186" s="192"/>
      <c r="N186" s="41">
        <v>46.2</v>
      </c>
      <c r="O186" s="41">
        <v>47.4</v>
      </c>
      <c r="P186" s="41">
        <v>201</v>
      </c>
      <c r="Q186" s="41">
        <v>1410</v>
      </c>
      <c r="R186" s="1"/>
    </row>
    <row r="187" spans="2:18" ht="14.25" customHeight="1" x14ac:dyDescent="0.25">
      <c r="B187" s="216" t="s">
        <v>86</v>
      </c>
      <c r="C187" s="216"/>
      <c r="D187" s="216"/>
      <c r="E187" s="180" t="e">
        <f t="shared" ref="E187:H187" si="30">E185/E186*100</f>
        <v>#REF!</v>
      </c>
      <c r="F187" s="180" t="e">
        <f t="shared" si="30"/>
        <v>#REF!</v>
      </c>
      <c r="G187" s="180" t="e">
        <f t="shared" si="30"/>
        <v>#REF!</v>
      </c>
      <c r="H187" s="180" t="e">
        <f t="shared" si="30"/>
        <v>#REF!</v>
      </c>
      <c r="I187" s="33"/>
      <c r="J187" s="147"/>
      <c r="K187" s="193" t="s">
        <v>86</v>
      </c>
      <c r="L187" s="193"/>
      <c r="M187" s="193"/>
      <c r="N187" s="42" t="e">
        <f t="shared" ref="N187:Q187" si="31">N185/N186*100</f>
        <v>#REF!</v>
      </c>
      <c r="O187" s="42" t="e">
        <f t="shared" si="31"/>
        <v>#REF!</v>
      </c>
      <c r="P187" s="42" t="e">
        <f t="shared" si="31"/>
        <v>#REF!</v>
      </c>
      <c r="Q187" s="42" t="e">
        <f t="shared" si="31"/>
        <v>#REF!</v>
      </c>
      <c r="R187" s="1"/>
    </row>
    <row r="189" spans="2:18" x14ac:dyDescent="0.25">
      <c r="B189" s="181" t="s">
        <v>248</v>
      </c>
    </row>
  </sheetData>
  <mergeCells count="132">
    <mergeCell ref="B185:C185"/>
    <mergeCell ref="B186:D186"/>
    <mergeCell ref="B187:D187"/>
    <mergeCell ref="B113:B119"/>
    <mergeCell ref="B168:C168"/>
    <mergeCell ref="B170:B174"/>
    <mergeCell ref="B175:C175"/>
    <mergeCell ref="B183:C183"/>
    <mergeCell ref="B184:C184"/>
    <mergeCell ref="B152:C152"/>
    <mergeCell ref="B154:B158"/>
    <mergeCell ref="B159:C159"/>
    <mergeCell ref="B160:B166"/>
    <mergeCell ref="B167:C167"/>
    <mergeCell ref="B151:C151"/>
    <mergeCell ref="B121:C121"/>
    <mergeCell ref="B123:B127"/>
    <mergeCell ref="B128:C128"/>
    <mergeCell ref="B129:B135"/>
    <mergeCell ref="B136:C136"/>
    <mergeCell ref="B137:C137"/>
    <mergeCell ref="B139:B143"/>
    <mergeCell ref="B144:C144"/>
    <mergeCell ref="B145:B150"/>
    <mergeCell ref="B120:C120"/>
    <mergeCell ref="B88:C88"/>
    <mergeCell ref="B90:B94"/>
    <mergeCell ref="B95:C95"/>
    <mergeCell ref="B96:B102"/>
    <mergeCell ref="B103:C103"/>
    <mergeCell ref="B104:C104"/>
    <mergeCell ref="B107:B111"/>
    <mergeCell ref="B112:C112"/>
    <mergeCell ref="B87:C87"/>
    <mergeCell ref="B58:C58"/>
    <mergeCell ref="B60:B63"/>
    <mergeCell ref="B64:C64"/>
    <mergeCell ref="B65:B70"/>
    <mergeCell ref="B71:C71"/>
    <mergeCell ref="B72:C72"/>
    <mergeCell ref="B74:B78"/>
    <mergeCell ref="B79:C79"/>
    <mergeCell ref="B80:B86"/>
    <mergeCell ref="B18:I18"/>
    <mergeCell ref="B25:B26"/>
    <mergeCell ref="C25:C26"/>
    <mergeCell ref="D25:D26"/>
    <mergeCell ref="E25:G25"/>
    <mergeCell ref="H25:H26"/>
    <mergeCell ref="I25:I26"/>
    <mergeCell ref="B57:C57"/>
    <mergeCell ref="B29:B33"/>
    <mergeCell ref="B34:C34"/>
    <mergeCell ref="B35:B41"/>
    <mergeCell ref="B42:C42"/>
    <mergeCell ref="B43:C43"/>
    <mergeCell ref="B45:B49"/>
    <mergeCell ref="B50:C50"/>
    <mergeCell ref="B51:B56"/>
    <mergeCell ref="B17:I17"/>
    <mergeCell ref="K12:R12"/>
    <mergeCell ref="K13:R13"/>
    <mergeCell ref="K14:R14"/>
    <mergeCell ref="K15:R15"/>
    <mergeCell ref="K16:R16"/>
    <mergeCell ref="K17:R17"/>
    <mergeCell ref="B12:I12"/>
    <mergeCell ref="B13:I13"/>
    <mergeCell ref="B14:I14"/>
    <mergeCell ref="B15:I15"/>
    <mergeCell ref="B16:I16"/>
    <mergeCell ref="K27:R27"/>
    <mergeCell ref="K28:R28"/>
    <mergeCell ref="K29:K33"/>
    <mergeCell ref="K34:L34"/>
    <mergeCell ref="K35:K41"/>
    <mergeCell ref="K18:R18"/>
    <mergeCell ref="K25:K26"/>
    <mergeCell ref="L25:L26"/>
    <mergeCell ref="M25:M26"/>
    <mergeCell ref="N25:P25"/>
    <mergeCell ref="Q25:Q26"/>
    <mergeCell ref="R25:R26"/>
    <mergeCell ref="K51:K56"/>
    <mergeCell ref="K57:L57"/>
    <mergeCell ref="K58:L58"/>
    <mergeCell ref="K60:K63"/>
    <mergeCell ref="K42:L42"/>
    <mergeCell ref="K43:L43"/>
    <mergeCell ref="K45:K49"/>
    <mergeCell ref="K50:L50"/>
    <mergeCell ref="K74:K78"/>
    <mergeCell ref="K79:L79"/>
    <mergeCell ref="K80:K86"/>
    <mergeCell ref="K87:L87"/>
    <mergeCell ref="K88:L88"/>
    <mergeCell ref="K64:L64"/>
    <mergeCell ref="K65:K70"/>
    <mergeCell ref="K71:L71"/>
    <mergeCell ref="K72:L72"/>
    <mergeCell ref="K104:L104"/>
    <mergeCell ref="K107:K111"/>
    <mergeCell ref="K112:L112"/>
    <mergeCell ref="K90:K94"/>
    <mergeCell ref="K95:L95"/>
    <mergeCell ref="K96:K102"/>
    <mergeCell ref="K103:L103"/>
    <mergeCell ref="K128:L128"/>
    <mergeCell ref="K129:K135"/>
    <mergeCell ref="K136:L136"/>
    <mergeCell ref="K113:K119"/>
    <mergeCell ref="K120:L120"/>
    <mergeCell ref="K121:L121"/>
    <mergeCell ref="K123:K127"/>
    <mergeCell ref="K184:L184"/>
    <mergeCell ref="K185:L185"/>
    <mergeCell ref="K186:M186"/>
    <mergeCell ref="K187:M187"/>
    <mergeCell ref="K168:L168"/>
    <mergeCell ref="K170:K174"/>
    <mergeCell ref="K175:L175"/>
    <mergeCell ref="K183:L183"/>
    <mergeCell ref="K137:L137"/>
    <mergeCell ref="K154:K158"/>
    <mergeCell ref="K159:L159"/>
    <mergeCell ref="K160:K166"/>
    <mergeCell ref="K167:L167"/>
    <mergeCell ref="K139:K143"/>
    <mergeCell ref="K144:L144"/>
    <mergeCell ref="K145:K150"/>
    <mergeCell ref="K151:L151"/>
    <mergeCell ref="K152:L152"/>
  </mergeCells>
  <pageMargins left="0.9055118110236221" right="0.31496062992125984" top="0.35433070866141736" bottom="0.35433070866141736" header="0.31496062992125984" footer="0.31496062992125984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6"/>
  <sheetViews>
    <sheetView zoomScale="80" zoomScaleNormal="80" workbookViewId="0">
      <pane xSplit="2" ySplit="3" topLeftCell="C285" activePane="bottomRight" state="frozen"/>
      <selection pane="topRight" activeCell="C1" sqref="C1"/>
      <selection pane="bottomLeft" activeCell="A4" sqref="A4"/>
      <selection pane="bottomRight" sqref="A1:K308"/>
    </sheetView>
  </sheetViews>
  <sheetFormatPr defaultRowHeight="15" x14ac:dyDescent="0.25"/>
  <cols>
    <col min="1" max="1" width="11.28515625" style="5" customWidth="1"/>
    <col min="2" max="2" width="11" style="46" customWidth="1"/>
    <col min="3" max="3" width="30.28515625" style="5" customWidth="1"/>
    <col min="4" max="4" width="7.7109375" style="8" customWidth="1"/>
    <col min="5" max="5" width="20" style="5" customWidth="1"/>
    <col min="6" max="6" width="13.28515625" style="5" customWidth="1"/>
    <col min="7" max="7" width="10.85546875" style="5" customWidth="1"/>
    <col min="8" max="8" width="8.42578125" style="5" customWidth="1"/>
    <col min="9" max="10" width="9.42578125" style="5" customWidth="1"/>
    <col min="11" max="11" width="9.140625" style="46"/>
    <col min="12" max="12" width="9.140625" style="5"/>
    <col min="13" max="13" width="12.42578125" style="5" bestFit="1" customWidth="1"/>
    <col min="14" max="16384" width="9.140625" style="4"/>
  </cols>
  <sheetData>
    <row r="1" spans="1:13" ht="15" customHeight="1" x14ac:dyDescent="0.25">
      <c r="A1" s="239"/>
      <c r="B1" s="240"/>
      <c r="C1" s="239"/>
      <c r="D1" s="73"/>
      <c r="E1" s="73"/>
      <c r="F1" s="73"/>
      <c r="G1" s="73"/>
      <c r="H1" s="73"/>
      <c r="I1" s="73"/>
      <c r="J1" s="4"/>
      <c r="K1" s="326"/>
      <c r="L1" s="73"/>
      <c r="M1" s="73"/>
    </row>
    <row r="2" spans="1:13" s="319" customFormat="1" ht="53.25" customHeight="1" x14ac:dyDescent="0.2">
      <c r="A2" s="257" t="s">
        <v>335</v>
      </c>
      <c r="B2" s="258">
        <f>(B4+B29+B73+B105+B133+B157+B179+B216+B243+B286)/10</f>
        <v>65.727455286315802</v>
      </c>
      <c r="C2" s="314"/>
      <c r="D2" s="315" t="s">
        <v>336</v>
      </c>
      <c r="E2" s="315"/>
      <c r="F2" s="315"/>
      <c r="G2" s="315"/>
      <c r="H2" s="315"/>
      <c r="I2" s="315"/>
      <c r="J2" s="316" t="s">
        <v>337</v>
      </c>
      <c r="K2" s="327" t="s">
        <v>26</v>
      </c>
      <c r="L2" s="317"/>
      <c r="M2" s="318" t="e">
        <f>(M3+M29+M73+M105+M133+M157+M179+M216+M243+M287)/10</f>
        <v>#REF!</v>
      </c>
    </row>
    <row r="3" spans="1:13" ht="15.75" x14ac:dyDescent="0.25">
      <c r="A3" s="340" t="s">
        <v>338</v>
      </c>
      <c r="B3" s="261" t="s">
        <v>339</v>
      </c>
      <c r="C3" s="340" t="s">
        <v>340</v>
      </c>
      <c r="D3" s="341">
        <v>150</v>
      </c>
      <c r="E3" s="341"/>
      <c r="F3" s="341"/>
      <c r="G3" s="341"/>
      <c r="H3" s="341"/>
      <c r="I3" s="341"/>
      <c r="J3" s="13">
        <v>70</v>
      </c>
      <c r="K3" s="260">
        <f>J3*D3/1000</f>
        <v>10.5</v>
      </c>
      <c r="L3" s="73"/>
      <c r="M3" s="241">
        <f>K3+K4+K5+K17+K26</f>
        <v>51.13</v>
      </c>
    </row>
    <row r="4" spans="1:13" s="14" customFormat="1" ht="15.75" x14ac:dyDescent="0.25">
      <c r="A4" s="259" t="s">
        <v>341</v>
      </c>
      <c r="B4" s="261">
        <f>K3+K4+K5+K17+K26</f>
        <v>51.13</v>
      </c>
      <c r="C4" s="259" t="s">
        <v>342</v>
      </c>
      <c r="D4" s="111">
        <v>20</v>
      </c>
      <c r="E4" s="111"/>
      <c r="F4" s="111">
        <v>21</v>
      </c>
      <c r="G4" s="111"/>
      <c r="H4" s="111"/>
      <c r="I4" s="111"/>
      <c r="J4" s="5">
        <v>550</v>
      </c>
      <c r="K4" s="260">
        <f>F4*J4/1000</f>
        <v>11.55</v>
      </c>
      <c r="L4" s="73"/>
      <c r="M4" s="73"/>
    </row>
    <row r="5" spans="1:13" ht="15.75" x14ac:dyDescent="0.25">
      <c r="A5" s="259"/>
      <c r="B5" s="307">
        <f>D3+D4+D5+D17+D26</f>
        <v>610</v>
      </c>
      <c r="C5" s="259" t="s">
        <v>343</v>
      </c>
      <c r="D5" s="111">
        <v>200</v>
      </c>
      <c r="E5" s="262" t="s">
        <v>17</v>
      </c>
      <c r="F5" s="263" t="s">
        <v>18</v>
      </c>
      <c r="G5" s="263"/>
      <c r="H5" s="263"/>
      <c r="I5" s="263"/>
      <c r="K5" s="260">
        <f>SUM(K8:K13)</f>
        <v>16.656000000000002</v>
      </c>
      <c r="L5" s="73"/>
      <c r="M5" s="73"/>
    </row>
    <row r="6" spans="1:13" ht="15" customHeight="1" x14ac:dyDescent="0.25">
      <c r="A6" s="259"/>
      <c r="B6" s="307"/>
      <c r="C6" s="259"/>
      <c r="D6" s="111"/>
      <c r="E6" s="262"/>
      <c r="F6" s="264">
        <v>1</v>
      </c>
      <c r="G6" s="264"/>
      <c r="H6" s="264"/>
      <c r="I6" s="264"/>
      <c r="L6" s="73"/>
      <c r="M6" s="73"/>
    </row>
    <row r="7" spans="1:13" ht="15" customHeight="1" x14ac:dyDescent="0.25">
      <c r="A7" s="259"/>
      <c r="B7" s="307"/>
      <c r="C7" s="259"/>
      <c r="D7" s="111"/>
      <c r="E7" s="262"/>
      <c r="F7" s="98" t="s">
        <v>331</v>
      </c>
      <c r="G7" s="98"/>
      <c r="H7" s="98" t="s">
        <v>332</v>
      </c>
      <c r="I7" s="98"/>
      <c r="L7" s="73"/>
      <c r="M7" s="73"/>
    </row>
    <row r="8" spans="1:13" ht="15" customHeight="1" x14ac:dyDescent="0.25">
      <c r="A8" s="259"/>
      <c r="B8" s="307"/>
      <c r="C8" s="259"/>
      <c r="D8" s="111"/>
      <c r="E8" s="265" t="s">
        <v>344</v>
      </c>
      <c r="F8" s="84">
        <v>40</v>
      </c>
      <c r="G8" s="84"/>
      <c r="H8" s="84">
        <f t="shared" ref="H8:H13" si="0">F8</f>
        <v>40</v>
      </c>
      <c r="I8" s="84"/>
      <c r="J8" s="5">
        <v>43</v>
      </c>
      <c r="K8" s="46">
        <f t="shared" ref="K8:K13" si="1">J8*F8/1000</f>
        <v>1.72</v>
      </c>
      <c r="L8" s="73"/>
      <c r="M8" s="73"/>
    </row>
    <row r="9" spans="1:13" ht="15.75" x14ac:dyDescent="0.25">
      <c r="A9" s="259"/>
      <c r="B9" s="307"/>
      <c r="C9" s="259"/>
      <c r="D9" s="111"/>
      <c r="E9" s="97" t="s">
        <v>31</v>
      </c>
      <c r="F9" s="84">
        <v>140</v>
      </c>
      <c r="G9" s="84"/>
      <c r="H9" s="84">
        <f t="shared" si="0"/>
        <v>140</v>
      </c>
      <c r="I9" s="84"/>
      <c r="J9" s="5">
        <v>69</v>
      </c>
      <c r="K9" s="46">
        <f t="shared" si="1"/>
        <v>9.66</v>
      </c>
      <c r="L9" s="73"/>
      <c r="M9" s="73"/>
    </row>
    <row r="10" spans="1:13" ht="14.25" customHeight="1" x14ac:dyDescent="0.25">
      <c r="A10" s="259"/>
      <c r="B10" s="307"/>
      <c r="C10" s="259"/>
      <c r="D10" s="111"/>
      <c r="E10" s="97" t="s">
        <v>32</v>
      </c>
      <c r="F10" s="84">
        <v>60</v>
      </c>
      <c r="G10" s="84"/>
      <c r="H10" s="84">
        <f t="shared" si="0"/>
        <v>60</v>
      </c>
      <c r="I10" s="84"/>
      <c r="K10" s="46">
        <f t="shared" si="1"/>
        <v>0</v>
      </c>
      <c r="L10" s="73"/>
      <c r="M10" s="73"/>
    </row>
    <row r="11" spans="1:13" ht="15.75" x14ac:dyDescent="0.25">
      <c r="A11" s="259"/>
      <c r="B11" s="307"/>
      <c r="C11" s="259"/>
      <c r="D11" s="111"/>
      <c r="E11" s="97" t="s">
        <v>22</v>
      </c>
      <c r="F11" s="84">
        <v>5</v>
      </c>
      <c r="G11" s="84"/>
      <c r="H11" s="84">
        <f t="shared" si="0"/>
        <v>5</v>
      </c>
      <c r="I11" s="84"/>
      <c r="J11" s="5">
        <v>990</v>
      </c>
      <c r="K11" s="46">
        <f t="shared" si="1"/>
        <v>4.95</v>
      </c>
      <c r="L11" s="73"/>
      <c r="M11" s="73"/>
    </row>
    <row r="12" spans="1:13" ht="15.75" x14ac:dyDescent="0.25">
      <c r="A12" s="259"/>
      <c r="B12" s="307"/>
      <c r="C12" s="259"/>
      <c r="D12" s="111"/>
      <c r="E12" s="97" t="s">
        <v>142</v>
      </c>
      <c r="F12" s="84">
        <v>0.3</v>
      </c>
      <c r="G12" s="84"/>
      <c r="H12" s="84">
        <f t="shared" si="0"/>
        <v>0.3</v>
      </c>
      <c r="I12" s="84"/>
      <c r="J12" s="5">
        <v>20</v>
      </c>
      <c r="K12" s="46">
        <f t="shared" si="1"/>
        <v>6.0000000000000001E-3</v>
      </c>
      <c r="L12" s="73"/>
      <c r="M12" s="73"/>
    </row>
    <row r="13" spans="1:13" ht="15.75" x14ac:dyDescent="0.25">
      <c r="A13" s="259"/>
      <c r="B13" s="307"/>
      <c r="C13" s="259"/>
      <c r="D13" s="111"/>
      <c r="E13" s="97" t="s">
        <v>162</v>
      </c>
      <c r="F13" s="84">
        <v>4</v>
      </c>
      <c r="G13" s="84"/>
      <c r="H13" s="84">
        <f t="shared" si="0"/>
        <v>4</v>
      </c>
      <c r="I13" s="84"/>
      <c r="J13" s="5">
        <v>80</v>
      </c>
      <c r="K13" s="46">
        <f t="shared" si="1"/>
        <v>0.32</v>
      </c>
      <c r="L13" s="73"/>
      <c r="M13" s="73"/>
    </row>
    <row r="14" spans="1:13" ht="15.75" x14ac:dyDescent="0.25">
      <c r="A14" s="259"/>
      <c r="B14" s="307"/>
      <c r="C14" s="259"/>
      <c r="D14" s="111"/>
      <c r="E14" s="97"/>
      <c r="F14" s="84"/>
      <c r="G14" s="84"/>
      <c r="H14" s="84"/>
      <c r="I14" s="84"/>
      <c r="L14" s="73"/>
      <c r="M14" s="73"/>
    </row>
    <row r="15" spans="1:13" ht="15.75" x14ac:dyDescent="0.25">
      <c r="A15" s="266"/>
      <c r="B15" s="307"/>
      <c r="C15" s="259"/>
      <c r="D15" s="111"/>
      <c r="E15" s="76" t="s">
        <v>112</v>
      </c>
      <c r="F15" s="12" t="s">
        <v>35</v>
      </c>
      <c r="G15" s="12"/>
      <c r="H15" s="267">
        <v>200</v>
      </c>
      <c r="I15" s="267"/>
      <c r="L15" s="73"/>
      <c r="M15" s="73"/>
    </row>
    <row r="16" spans="1:13" ht="15.75" x14ac:dyDescent="0.25">
      <c r="A16" s="259"/>
      <c r="B16" s="307"/>
      <c r="C16" s="259"/>
      <c r="D16" s="111"/>
      <c r="E16" s="111"/>
      <c r="F16" s="111"/>
      <c r="G16" s="111"/>
      <c r="H16" s="111"/>
      <c r="I16" s="111"/>
      <c r="L16" s="73"/>
      <c r="M16" s="73"/>
    </row>
    <row r="17" spans="1:13" ht="15.75" x14ac:dyDescent="0.25">
      <c r="A17" s="259"/>
      <c r="B17" s="307"/>
      <c r="C17" s="259" t="s">
        <v>288</v>
      </c>
      <c r="D17" s="111">
        <v>200</v>
      </c>
      <c r="E17" s="268" t="s">
        <v>17</v>
      </c>
      <c r="F17" s="269" t="s">
        <v>18</v>
      </c>
      <c r="G17" s="269"/>
      <c r="H17" s="269"/>
      <c r="I17" s="269"/>
      <c r="K17" s="260">
        <f>K20+K21+K22+K23</f>
        <v>10.220000000000001</v>
      </c>
      <c r="L17" s="73"/>
      <c r="M17" s="73"/>
    </row>
    <row r="18" spans="1:13" ht="15.75" x14ac:dyDescent="0.25">
      <c r="A18" s="259"/>
      <c r="B18" s="307"/>
      <c r="C18" s="259"/>
      <c r="D18" s="111"/>
      <c r="E18" s="268"/>
      <c r="F18" s="242">
        <v>1</v>
      </c>
      <c r="G18" s="242"/>
      <c r="H18" s="242"/>
      <c r="I18" s="242"/>
      <c r="L18" s="73"/>
      <c r="M18" s="73"/>
    </row>
    <row r="19" spans="1:13" ht="15.75" x14ac:dyDescent="0.25">
      <c r="A19" s="259"/>
      <c r="B19" s="307"/>
      <c r="C19" s="259"/>
      <c r="D19" s="111"/>
      <c r="E19" s="268"/>
      <c r="F19" s="243" t="s">
        <v>331</v>
      </c>
      <c r="G19" s="243"/>
      <c r="H19" s="243" t="s">
        <v>332</v>
      </c>
      <c r="I19" s="243"/>
      <c r="L19" s="73"/>
      <c r="M19" s="73"/>
    </row>
    <row r="20" spans="1:13" ht="15.75" x14ac:dyDescent="0.25">
      <c r="A20" s="259"/>
      <c r="B20" s="307"/>
      <c r="C20" s="259"/>
      <c r="D20" s="111"/>
      <c r="E20" s="270" t="s">
        <v>276</v>
      </c>
      <c r="F20" s="271">
        <v>4</v>
      </c>
      <c r="G20" s="271"/>
      <c r="H20" s="272">
        <f>F20</f>
        <v>4</v>
      </c>
      <c r="I20" s="272"/>
      <c r="J20" s="5">
        <v>430</v>
      </c>
      <c r="K20" s="46">
        <f>F20*J20/1000</f>
        <v>1.72</v>
      </c>
      <c r="L20" s="73"/>
      <c r="M20" s="73"/>
    </row>
    <row r="21" spans="1:13" ht="15.75" x14ac:dyDescent="0.25">
      <c r="A21" s="259"/>
      <c r="B21" s="307"/>
      <c r="C21" s="259"/>
      <c r="D21" s="111"/>
      <c r="E21" s="273" t="s">
        <v>31</v>
      </c>
      <c r="F21" s="271">
        <v>100</v>
      </c>
      <c r="G21" s="271"/>
      <c r="H21" s="272">
        <f>F21</f>
        <v>100</v>
      </c>
      <c r="I21" s="272"/>
      <c r="J21" s="5">
        <v>69</v>
      </c>
      <c r="K21" s="46">
        <f>F21*J21/1000</f>
        <v>6.9</v>
      </c>
      <c r="L21" s="73"/>
      <c r="M21" s="73"/>
    </row>
    <row r="22" spans="1:13" ht="15.75" x14ac:dyDescent="0.25">
      <c r="A22" s="259"/>
      <c r="B22" s="307"/>
      <c r="C22" s="259"/>
      <c r="D22" s="111"/>
      <c r="E22" s="273" t="s">
        <v>32</v>
      </c>
      <c r="F22" s="271">
        <v>110</v>
      </c>
      <c r="G22" s="271"/>
      <c r="H22" s="272">
        <f>F22</f>
        <v>110</v>
      </c>
      <c r="I22" s="272"/>
      <c r="K22" s="46">
        <f>F22*J22/1000</f>
        <v>0</v>
      </c>
      <c r="L22" s="73"/>
      <c r="M22" s="73"/>
    </row>
    <row r="23" spans="1:13" ht="15.75" x14ac:dyDescent="0.25">
      <c r="A23" s="259"/>
      <c r="B23" s="307"/>
      <c r="C23" s="259"/>
      <c r="D23" s="111"/>
      <c r="E23" s="273" t="s">
        <v>287</v>
      </c>
      <c r="F23" s="271">
        <v>20</v>
      </c>
      <c r="G23" s="271"/>
      <c r="H23" s="272">
        <f>F23</f>
        <v>20</v>
      </c>
      <c r="I23" s="272"/>
      <c r="J23" s="5">
        <v>80</v>
      </c>
      <c r="K23" s="46">
        <f>F23*J23/1000</f>
        <v>1.6</v>
      </c>
      <c r="L23" s="73"/>
      <c r="M23" s="73"/>
    </row>
    <row r="24" spans="1:13" ht="15.75" x14ac:dyDescent="0.25">
      <c r="A24" s="259"/>
      <c r="B24" s="307"/>
      <c r="C24" s="259"/>
      <c r="D24" s="111"/>
      <c r="E24" s="244" t="s">
        <v>112</v>
      </c>
      <c r="F24" s="245" t="s">
        <v>35</v>
      </c>
      <c r="G24" s="245"/>
      <c r="H24" s="246">
        <v>200</v>
      </c>
      <c r="I24" s="246"/>
      <c r="L24" s="73"/>
      <c r="M24" s="73"/>
    </row>
    <row r="25" spans="1:13" ht="15.75" x14ac:dyDescent="0.25">
      <c r="A25" s="259"/>
      <c r="B25" s="307"/>
      <c r="C25" s="259"/>
      <c r="D25" s="111"/>
      <c r="E25" s="111"/>
      <c r="F25" s="111"/>
      <c r="G25" s="111"/>
      <c r="H25" s="111"/>
      <c r="I25" s="111"/>
      <c r="L25" s="73"/>
      <c r="M25" s="73"/>
    </row>
    <row r="26" spans="1:13" ht="15.75" x14ac:dyDescent="0.25">
      <c r="A26" s="259"/>
      <c r="B26" s="307"/>
      <c r="C26" s="259" t="s">
        <v>90</v>
      </c>
      <c r="D26" s="111">
        <v>40</v>
      </c>
      <c r="E26" s="111"/>
      <c r="F26" s="111"/>
      <c r="G26" s="111"/>
      <c r="H26" s="111"/>
      <c r="I26" s="111"/>
      <c r="J26" s="5">
        <v>55.1</v>
      </c>
      <c r="K26" s="260">
        <f>J26*D26/1000</f>
        <v>2.2040000000000002</v>
      </c>
      <c r="L26" s="73"/>
      <c r="M26" s="73"/>
    </row>
    <row r="27" spans="1:13" ht="16.5" thickBot="1" x14ac:dyDescent="0.3">
      <c r="A27" s="259"/>
      <c r="B27" s="307"/>
      <c r="C27" s="259"/>
      <c r="D27" s="111"/>
      <c r="E27" s="111"/>
      <c r="F27" s="111"/>
      <c r="G27" s="111"/>
      <c r="H27" s="111"/>
      <c r="I27" s="111"/>
      <c r="L27" s="247"/>
      <c r="M27" s="247"/>
    </row>
    <row r="28" spans="1:13" s="28" customFormat="1" ht="15.75" x14ac:dyDescent="0.25">
      <c r="A28" s="340" t="s">
        <v>345</v>
      </c>
      <c r="B28" s="261" t="s">
        <v>339</v>
      </c>
      <c r="C28" s="341"/>
      <c r="D28" s="341"/>
      <c r="E28" s="341"/>
      <c r="F28" s="341"/>
      <c r="G28" s="341"/>
      <c r="H28" s="341"/>
      <c r="I28" s="341"/>
      <c r="J28" s="13"/>
      <c r="K28" s="260"/>
      <c r="L28" s="73"/>
      <c r="M28" s="73"/>
    </row>
    <row r="29" spans="1:13" s="14" customFormat="1" ht="15.75" x14ac:dyDescent="0.25">
      <c r="A29" s="259" t="s">
        <v>346</v>
      </c>
      <c r="B29" s="275">
        <f>K29+K31+K56+K62+K69</f>
        <v>63.775556600000009</v>
      </c>
      <c r="C29" s="276" t="s">
        <v>347</v>
      </c>
      <c r="D29" s="277">
        <v>40</v>
      </c>
      <c r="E29" s="277"/>
      <c r="F29" s="277">
        <v>42</v>
      </c>
      <c r="G29" s="277"/>
      <c r="H29" s="277"/>
      <c r="I29" s="277"/>
      <c r="J29" s="278"/>
      <c r="K29" s="329">
        <f>J29*F29/1000</f>
        <v>0</v>
      </c>
      <c r="L29" s="248"/>
      <c r="M29" s="73">
        <f>K31+K56+K62+K69</f>
        <v>63.775556600000009</v>
      </c>
    </row>
    <row r="30" spans="1:13" ht="15.75" x14ac:dyDescent="0.25">
      <c r="A30" s="259"/>
      <c r="B30" s="307">
        <f>D28+D31+D56+D62+D69</f>
        <v>480</v>
      </c>
      <c r="C30" s="259"/>
      <c r="D30" s="111"/>
      <c r="E30" s="111"/>
      <c r="F30" s="111"/>
      <c r="G30" s="111"/>
      <c r="H30" s="111"/>
      <c r="I30" s="111"/>
      <c r="K30" s="328"/>
      <c r="L30" s="248"/>
      <c r="M30" s="73"/>
    </row>
    <row r="31" spans="1:13" ht="15.75" x14ac:dyDescent="0.25">
      <c r="A31" s="259"/>
      <c r="B31" s="279"/>
      <c r="C31" s="280" t="s">
        <v>348</v>
      </c>
      <c r="D31" s="111">
        <v>90</v>
      </c>
      <c r="E31" s="111"/>
      <c r="F31" s="249">
        <v>1</v>
      </c>
      <c r="G31" s="249"/>
      <c r="H31" s="249"/>
      <c r="I31" s="249"/>
      <c r="K31" s="330">
        <f>SUM(K33:K52)</f>
        <v>45.149556600000011</v>
      </c>
      <c r="L31" s="248"/>
      <c r="M31" s="73"/>
    </row>
    <row r="32" spans="1:13" ht="15.75" x14ac:dyDescent="0.25">
      <c r="A32" s="259"/>
      <c r="B32" s="307"/>
      <c r="C32" s="259"/>
      <c r="D32" s="111"/>
      <c r="E32" s="111"/>
      <c r="F32" s="250" t="s">
        <v>331</v>
      </c>
      <c r="G32" s="250"/>
      <c r="H32" s="250" t="s">
        <v>332</v>
      </c>
      <c r="I32" s="250"/>
      <c r="L32" s="248"/>
      <c r="M32" s="73"/>
    </row>
    <row r="33" spans="1:13" ht="25.5" x14ac:dyDescent="0.25">
      <c r="A33" s="111"/>
      <c r="B33" s="320"/>
      <c r="C33" s="259"/>
      <c r="D33" s="111"/>
      <c r="E33" s="7" t="s">
        <v>349</v>
      </c>
      <c r="F33" s="7">
        <v>63.36</v>
      </c>
      <c r="G33" s="7"/>
      <c r="H33" s="185">
        <v>46.62</v>
      </c>
      <c r="I33" s="185"/>
      <c r="J33" s="5">
        <v>614</v>
      </c>
      <c r="K33" s="46">
        <f>F33*J33/1000</f>
        <v>38.903040000000004</v>
      </c>
      <c r="L33" s="73"/>
      <c r="M33" s="73"/>
    </row>
    <row r="34" spans="1:13" ht="15.75" x14ac:dyDescent="0.25">
      <c r="A34" s="111"/>
      <c r="B34" s="320"/>
      <c r="C34" s="259"/>
      <c r="D34" s="111"/>
      <c r="E34" s="7" t="s">
        <v>31</v>
      </c>
      <c r="F34" s="7">
        <v>15.12</v>
      </c>
      <c r="G34" s="7"/>
      <c r="H34" s="185">
        <v>15.12</v>
      </c>
      <c r="I34" s="185"/>
      <c r="J34" s="5">
        <v>69</v>
      </c>
      <c r="K34" s="46">
        <f>F34*J34/1000</f>
        <v>1.04328</v>
      </c>
      <c r="L34" s="73"/>
      <c r="M34" s="73"/>
    </row>
    <row r="35" spans="1:13" ht="15.75" x14ac:dyDescent="0.25">
      <c r="A35" s="111"/>
      <c r="B35" s="320"/>
      <c r="C35" s="259"/>
      <c r="D35" s="111"/>
      <c r="E35" s="7" t="s">
        <v>136</v>
      </c>
      <c r="F35" s="7">
        <v>15.12</v>
      </c>
      <c r="G35" s="7"/>
      <c r="H35" s="185">
        <v>15.12</v>
      </c>
      <c r="I35" s="185"/>
      <c r="L35" s="73"/>
      <c r="M35" s="73"/>
    </row>
    <row r="36" spans="1:13" ht="15.75" x14ac:dyDescent="0.25">
      <c r="A36" s="111"/>
      <c r="B36" s="320"/>
      <c r="C36" s="259"/>
      <c r="D36" s="111"/>
      <c r="E36" s="7" t="s">
        <v>4</v>
      </c>
      <c r="F36" s="7">
        <v>11.34</v>
      </c>
      <c r="G36" s="7"/>
      <c r="H36" s="185">
        <v>11.34</v>
      </c>
      <c r="I36" s="185"/>
      <c r="J36" s="5">
        <v>55.1</v>
      </c>
      <c r="K36" s="46">
        <f>F36*J36/1000</f>
        <v>0.62483400000000011</v>
      </c>
      <c r="L36" s="73"/>
      <c r="M36" s="73"/>
    </row>
    <row r="37" spans="1:13" ht="15.75" x14ac:dyDescent="0.25">
      <c r="A37" s="111"/>
      <c r="B37" s="320"/>
      <c r="C37" s="259"/>
      <c r="D37" s="111"/>
      <c r="E37" s="7" t="s">
        <v>315</v>
      </c>
      <c r="F37" s="7">
        <v>6.3</v>
      </c>
      <c r="G37" s="7"/>
      <c r="H37" s="185">
        <v>6.3</v>
      </c>
      <c r="I37" s="185"/>
      <c r="J37" s="5">
        <v>200</v>
      </c>
      <c r="K37" s="46">
        <f>F37*J37/1000</f>
        <v>1.26</v>
      </c>
      <c r="L37" s="73"/>
      <c r="M37" s="73"/>
    </row>
    <row r="38" spans="1:13" ht="25.5" x14ac:dyDescent="0.25">
      <c r="A38" s="111"/>
      <c r="B38" s="320"/>
      <c r="C38" s="259"/>
      <c r="D38" s="111"/>
      <c r="E38" s="7" t="s">
        <v>119</v>
      </c>
      <c r="F38" s="7" t="s">
        <v>35</v>
      </c>
      <c r="G38" s="7"/>
      <c r="H38" s="185">
        <v>78.12</v>
      </c>
      <c r="I38" s="185"/>
      <c r="L38" s="73"/>
      <c r="M38" s="73"/>
    </row>
    <row r="39" spans="1:13" ht="15.75" x14ac:dyDescent="0.25">
      <c r="A39" s="111"/>
      <c r="B39" s="320"/>
      <c r="C39" s="259"/>
      <c r="D39" s="111"/>
      <c r="E39" s="7" t="s">
        <v>125</v>
      </c>
      <c r="F39" s="281">
        <v>3.78</v>
      </c>
      <c r="G39" s="281"/>
      <c r="H39" s="185">
        <v>3.78</v>
      </c>
      <c r="I39" s="185"/>
      <c r="J39" s="5">
        <v>177.17</v>
      </c>
      <c r="K39" s="46">
        <f>F39*J39/1000</f>
        <v>0.66970259999999993</v>
      </c>
      <c r="L39" s="73"/>
      <c r="M39" s="73"/>
    </row>
    <row r="40" spans="1:13" ht="25.5" x14ac:dyDescent="0.25">
      <c r="A40" s="111"/>
      <c r="B40" s="320"/>
      <c r="C40" s="259"/>
      <c r="D40" s="111"/>
      <c r="E40" s="7" t="s">
        <v>350</v>
      </c>
      <c r="F40" s="7" t="s">
        <v>35</v>
      </c>
      <c r="G40" s="7"/>
      <c r="H40" s="185" t="s">
        <v>35</v>
      </c>
      <c r="I40" s="185"/>
      <c r="L40" s="73"/>
      <c r="M40" s="73"/>
    </row>
    <row r="41" spans="1:13" ht="25.5" x14ac:dyDescent="0.25">
      <c r="A41" s="111"/>
      <c r="B41" s="320"/>
      <c r="C41" s="259"/>
      <c r="D41" s="111"/>
      <c r="E41" s="7" t="s">
        <v>351</v>
      </c>
      <c r="F41" s="7" t="s">
        <v>35</v>
      </c>
      <c r="G41" s="7"/>
      <c r="H41" s="185">
        <v>63</v>
      </c>
      <c r="I41" s="185"/>
      <c r="L41" s="73"/>
      <c r="M41" s="73"/>
    </row>
    <row r="42" spans="1:13" ht="15.75" x14ac:dyDescent="0.25">
      <c r="A42" s="111"/>
      <c r="B42" s="320"/>
      <c r="C42" s="259"/>
      <c r="D42" s="111"/>
      <c r="E42" s="7" t="s">
        <v>352</v>
      </c>
      <c r="F42" s="7" t="s">
        <v>35</v>
      </c>
      <c r="G42" s="7"/>
      <c r="H42" s="185">
        <v>27</v>
      </c>
      <c r="I42" s="185"/>
      <c r="L42" s="73"/>
      <c r="M42" s="73"/>
    </row>
    <row r="43" spans="1:13" ht="15.75" x14ac:dyDescent="0.25">
      <c r="A43" s="111"/>
      <c r="B43" s="320"/>
      <c r="C43" s="259"/>
      <c r="D43" s="111"/>
      <c r="E43" s="7" t="s">
        <v>134</v>
      </c>
      <c r="F43" s="7">
        <v>24.3</v>
      </c>
      <c r="G43" s="7"/>
      <c r="H43" s="185">
        <v>24.3</v>
      </c>
      <c r="I43" s="185"/>
      <c r="L43" s="73"/>
      <c r="M43" s="73"/>
    </row>
    <row r="44" spans="1:13" ht="15.75" x14ac:dyDescent="0.25">
      <c r="A44" s="111"/>
      <c r="B44" s="320"/>
      <c r="C44" s="259"/>
      <c r="D44" s="111"/>
      <c r="E44" s="7" t="s">
        <v>136</v>
      </c>
      <c r="F44" s="7">
        <v>24.3</v>
      </c>
      <c r="G44" s="7"/>
      <c r="H44" s="185">
        <v>24.3</v>
      </c>
      <c r="I44" s="185"/>
      <c r="L44" s="73"/>
      <c r="M44" s="73"/>
    </row>
    <row r="45" spans="1:13" ht="15.75" x14ac:dyDescent="0.25">
      <c r="A45" s="111"/>
      <c r="B45" s="320"/>
      <c r="C45" s="259"/>
      <c r="D45" s="111"/>
      <c r="E45" s="7" t="s">
        <v>22</v>
      </c>
      <c r="F45" s="282">
        <v>1.26</v>
      </c>
      <c r="G45" s="282"/>
      <c r="H45" s="185">
        <v>1.26</v>
      </c>
      <c r="I45" s="185"/>
      <c r="J45" s="5">
        <v>990</v>
      </c>
      <c r="K45" s="46">
        <f t="shared" ref="K45:K52" si="2">F45*J45/1000</f>
        <v>1.2474000000000001</v>
      </c>
      <c r="L45" s="73"/>
      <c r="M45" s="73"/>
    </row>
    <row r="46" spans="1:13" s="14" customFormat="1" ht="15.75" x14ac:dyDescent="0.25">
      <c r="A46" s="111"/>
      <c r="B46" s="320"/>
      <c r="C46" s="259"/>
      <c r="D46" s="111"/>
      <c r="E46" s="7" t="s">
        <v>203</v>
      </c>
      <c r="F46" s="7">
        <v>1.26</v>
      </c>
      <c r="G46" s="7"/>
      <c r="H46" s="185">
        <v>1.26</v>
      </c>
      <c r="I46" s="185"/>
      <c r="J46" s="5">
        <v>39</v>
      </c>
      <c r="K46" s="46">
        <f t="shared" si="2"/>
        <v>4.9140000000000003E-2</v>
      </c>
      <c r="L46" s="73"/>
      <c r="M46" s="73"/>
    </row>
    <row r="47" spans="1:13" ht="15.75" x14ac:dyDescent="0.25">
      <c r="A47" s="111"/>
      <c r="B47" s="320"/>
      <c r="C47" s="259"/>
      <c r="D47" s="111"/>
      <c r="E47" s="7" t="s">
        <v>131</v>
      </c>
      <c r="F47" s="7">
        <v>2.0699999999999998</v>
      </c>
      <c r="G47" s="7"/>
      <c r="H47" s="185">
        <v>1.62</v>
      </c>
      <c r="I47" s="185"/>
      <c r="J47" s="5">
        <v>35</v>
      </c>
      <c r="K47" s="46">
        <f t="shared" si="2"/>
        <v>7.2449999999999987E-2</v>
      </c>
      <c r="L47" s="73"/>
      <c r="M47" s="73"/>
    </row>
    <row r="48" spans="1:13" ht="15.75" x14ac:dyDescent="0.25">
      <c r="A48" s="111"/>
      <c r="B48" s="320"/>
      <c r="C48" s="259"/>
      <c r="D48" s="111"/>
      <c r="E48" s="7" t="s">
        <v>132</v>
      </c>
      <c r="F48" s="7">
        <v>0.63</v>
      </c>
      <c r="G48" s="7"/>
      <c r="H48" s="185">
        <v>0.54</v>
      </c>
      <c r="I48" s="185"/>
      <c r="J48" s="5">
        <v>27</v>
      </c>
      <c r="K48" s="46">
        <f t="shared" si="2"/>
        <v>1.7010000000000001E-2</v>
      </c>
      <c r="L48" s="73"/>
      <c r="M48" s="73"/>
    </row>
    <row r="49" spans="1:13" ht="15.75" x14ac:dyDescent="0.25">
      <c r="A49" s="111"/>
      <c r="B49" s="320"/>
      <c r="C49" s="259"/>
      <c r="D49" s="111"/>
      <c r="E49" s="7" t="s">
        <v>22</v>
      </c>
      <c r="F49" s="282">
        <v>0.45</v>
      </c>
      <c r="G49" s="282"/>
      <c r="H49" s="185">
        <v>0.45</v>
      </c>
      <c r="I49" s="185"/>
      <c r="J49" s="5">
        <v>990</v>
      </c>
      <c r="K49" s="46">
        <f t="shared" si="2"/>
        <v>0.44550000000000001</v>
      </c>
      <c r="L49" s="73"/>
      <c r="M49" s="73"/>
    </row>
    <row r="50" spans="1:13" ht="25.5" x14ac:dyDescent="0.25">
      <c r="A50" s="111"/>
      <c r="B50" s="320"/>
      <c r="C50" s="259"/>
      <c r="D50" s="111"/>
      <c r="E50" s="7" t="s">
        <v>34</v>
      </c>
      <c r="F50" s="7">
        <v>0.09</v>
      </c>
      <c r="G50" s="7"/>
      <c r="H50" s="185">
        <v>0.09</v>
      </c>
      <c r="I50" s="185"/>
      <c r="J50" s="5">
        <v>20</v>
      </c>
      <c r="K50" s="46">
        <f t="shared" si="2"/>
        <v>1.7999999999999997E-3</v>
      </c>
      <c r="L50" s="73"/>
      <c r="M50" s="73"/>
    </row>
    <row r="51" spans="1:13" ht="15.75" x14ac:dyDescent="0.25">
      <c r="A51" s="111"/>
      <c r="B51" s="320"/>
      <c r="C51" s="259"/>
      <c r="D51" s="111"/>
      <c r="E51" s="7" t="s">
        <v>33</v>
      </c>
      <c r="F51" s="7">
        <v>0.27</v>
      </c>
      <c r="G51" s="7"/>
      <c r="H51" s="185">
        <v>0.27</v>
      </c>
      <c r="I51" s="185"/>
      <c r="J51" s="5">
        <v>80</v>
      </c>
      <c r="K51" s="46">
        <f t="shared" si="2"/>
        <v>2.1600000000000001E-2</v>
      </c>
      <c r="L51" s="73"/>
      <c r="M51" s="73"/>
    </row>
    <row r="52" spans="1:13" ht="15.75" x14ac:dyDescent="0.25">
      <c r="A52" s="111"/>
      <c r="B52" s="320"/>
      <c r="C52" s="259"/>
      <c r="D52" s="111"/>
      <c r="E52" s="7" t="s">
        <v>353</v>
      </c>
      <c r="F52" s="7">
        <v>3.78</v>
      </c>
      <c r="G52" s="7"/>
      <c r="H52" s="185">
        <v>3.78</v>
      </c>
      <c r="I52" s="185"/>
      <c r="J52" s="5">
        <v>210</v>
      </c>
      <c r="K52" s="46">
        <f t="shared" si="2"/>
        <v>0.79379999999999995</v>
      </c>
      <c r="L52" s="73"/>
      <c r="M52" s="73"/>
    </row>
    <row r="53" spans="1:13" ht="15.75" x14ac:dyDescent="0.25">
      <c r="A53" s="111"/>
      <c r="B53" s="320"/>
      <c r="C53" s="259"/>
      <c r="D53" s="111"/>
      <c r="E53" s="56" t="s">
        <v>23</v>
      </c>
      <c r="F53" s="236">
        <v>90</v>
      </c>
      <c r="G53" s="236"/>
      <c r="H53" s="236"/>
      <c r="I53" s="236"/>
      <c r="L53" s="73"/>
      <c r="M53" s="73"/>
    </row>
    <row r="54" spans="1:13" ht="15.75" x14ac:dyDescent="0.25">
      <c r="A54" s="111"/>
      <c r="B54" s="320"/>
      <c r="C54" s="259"/>
      <c r="D54" s="111"/>
      <c r="E54" s="76"/>
      <c r="F54" s="236"/>
      <c r="G54" s="236"/>
      <c r="H54" s="237"/>
      <c r="I54" s="237"/>
      <c r="L54" s="73"/>
      <c r="M54" s="73"/>
    </row>
    <row r="55" spans="1:13" ht="15.75" x14ac:dyDescent="0.25">
      <c r="A55" s="111"/>
      <c r="B55" s="320"/>
      <c r="C55" s="259"/>
      <c r="D55" s="111"/>
      <c r="E55" s="111"/>
      <c r="F55" s="111"/>
      <c r="G55" s="111"/>
      <c r="H55" s="111"/>
      <c r="I55" s="111"/>
      <c r="L55" s="73"/>
      <c r="M55" s="73"/>
    </row>
    <row r="56" spans="1:13" ht="15.75" x14ac:dyDescent="0.25">
      <c r="A56" s="111"/>
      <c r="B56" s="320"/>
      <c r="C56" s="259" t="s">
        <v>109</v>
      </c>
      <c r="D56" s="111">
        <v>150</v>
      </c>
      <c r="E56" s="111"/>
      <c r="F56" s="235" t="s">
        <v>331</v>
      </c>
      <c r="G56" s="235"/>
      <c r="H56" s="235" t="s">
        <v>332</v>
      </c>
      <c r="I56" s="235"/>
      <c r="K56" s="330">
        <f>K57+K58+K59</f>
        <v>6.5619999999999994</v>
      </c>
      <c r="L56" s="73"/>
      <c r="M56" s="73"/>
    </row>
    <row r="57" spans="1:13" ht="15.75" x14ac:dyDescent="0.25">
      <c r="A57" s="111"/>
      <c r="B57" s="320"/>
      <c r="C57" s="259"/>
      <c r="D57" s="111"/>
      <c r="E57" s="265" t="s">
        <v>29</v>
      </c>
      <c r="F57" s="84">
        <v>38</v>
      </c>
      <c r="G57" s="84"/>
      <c r="H57" s="283">
        <v>38</v>
      </c>
      <c r="I57" s="283"/>
      <c r="J57" s="5">
        <v>94</v>
      </c>
      <c r="K57" s="46">
        <f>J57*F57/1000</f>
        <v>3.5720000000000001</v>
      </c>
      <c r="L57" s="73"/>
      <c r="M57" s="73"/>
    </row>
    <row r="58" spans="1:13" ht="15.75" x14ac:dyDescent="0.25">
      <c r="A58" s="111"/>
      <c r="B58" s="320"/>
      <c r="C58" s="259"/>
      <c r="D58" s="111"/>
      <c r="E58" s="265" t="s">
        <v>22</v>
      </c>
      <c r="F58" s="284">
        <v>3</v>
      </c>
      <c r="G58" s="284"/>
      <c r="H58" s="283">
        <v>3</v>
      </c>
      <c r="I58" s="283"/>
      <c r="J58" s="5">
        <v>990</v>
      </c>
      <c r="K58" s="46">
        <f>J58*F58/1000</f>
        <v>2.97</v>
      </c>
      <c r="L58" s="73"/>
      <c r="M58" s="73"/>
    </row>
    <row r="59" spans="1:13" ht="15.75" x14ac:dyDescent="0.25">
      <c r="A59" s="111"/>
      <c r="B59" s="320"/>
      <c r="C59" s="259"/>
      <c r="D59" s="111"/>
      <c r="E59" s="265" t="s">
        <v>142</v>
      </c>
      <c r="F59" s="84">
        <v>1</v>
      </c>
      <c r="G59" s="84"/>
      <c r="H59" s="283">
        <v>1</v>
      </c>
      <c r="I59" s="283"/>
      <c r="J59" s="5">
        <v>20</v>
      </c>
      <c r="K59" s="46">
        <f>J59*F59/1000</f>
        <v>0.02</v>
      </c>
      <c r="L59" s="73"/>
      <c r="M59" s="73"/>
    </row>
    <row r="60" spans="1:13" ht="15.75" x14ac:dyDescent="0.25">
      <c r="A60" s="259"/>
      <c r="B60" s="307"/>
      <c r="C60" s="259"/>
      <c r="D60" s="111"/>
      <c r="E60" s="76" t="s">
        <v>112</v>
      </c>
      <c r="F60" s="236" t="s">
        <v>35</v>
      </c>
      <c r="G60" s="236"/>
      <c r="H60" s="237">
        <v>150</v>
      </c>
      <c r="I60" s="237"/>
      <c r="L60" s="73"/>
      <c r="M60" s="73"/>
    </row>
    <row r="61" spans="1:13" ht="15.75" x14ac:dyDescent="0.25">
      <c r="A61" s="111"/>
      <c r="B61" s="320"/>
      <c r="C61" s="259"/>
      <c r="D61" s="111"/>
      <c r="E61" s="111"/>
      <c r="F61" s="111"/>
      <c r="G61" s="111"/>
      <c r="H61" s="111"/>
      <c r="I61" s="111"/>
      <c r="L61" s="73"/>
      <c r="M61" s="73"/>
    </row>
    <row r="62" spans="1:13" ht="15.75" x14ac:dyDescent="0.25">
      <c r="A62" s="259"/>
      <c r="B62" s="307"/>
      <c r="C62" s="259" t="s">
        <v>354</v>
      </c>
      <c r="D62" s="111">
        <v>200</v>
      </c>
      <c r="E62" s="111"/>
      <c r="F62" s="235" t="s">
        <v>331</v>
      </c>
      <c r="G62" s="235"/>
      <c r="H62" s="235" t="s">
        <v>332</v>
      </c>
      <c r="I62" s="235"/>
      <c r="K62" s="330">
        <f>SUM(K63:K66)</f>
        <v>9.86</v>
      </c>
      <c r="L62" s="73"/>
      <c r="M62" s="73"/>
    </row>
    <row r="63" spans="1:13" ht="15.75" x14ac:dyDescent="0.25">
      <c r="A63" s="259"/>
      <c r="B63" s="307"/>
      <c r="C63" s="259"/>
      <c r="D63" s="111"/>
      <c r="E63" s="265" t="s">
        <v>355</v>
      </c>
      <c r="F63" s="84">
        <v>4</v>
      </c>
      <c r="G63" s="84"/>
      <c r="H63" s="283">
        <v>4</v>
      </c>
      <c r="I63" s="283"/>
      <c r="J63" s="5">
        <v>440</v>
      </c>
      <c r="K63" s="46">
        <f>J63*F63/1000</f>
        <v>1.76</v>
      </c>
      <c r="L63" s="73"/>
      <c r="M63" s="73"/>
    </row>
    <row r="64" spans="1:13" s="14" customFormat="1" ht="15.75" x14ac:dyDescent="0.25">
      <c r="A64" s="259"/>
      <c r="B64" s="307"/>
      <c r="C64" s="259"/>
      <c r="D64" s="111"/>
      <c r="E64" s="97" t="s">
        <v>162</v>
      </c>
      <c r="F64" s="84">
        <v>15</v>
      </c>
      <c r="G64" s="84"/>
      <c r="H64" s="283">
        <v>15</v>
      </c>
      <c r="I64" s="283"/>
      <c r="J64" s="5">
        <v>80</v>
      </c>
      <c r="K64" s="46">
        <f>J64*F64/1000</f>
        <v>1.2</v>
      </c>
      <c r="L64" s="73"/>
      <c r="M64" s="73"/>
    </row>
    <row r="65" spans="1:13" ht="15.75" x14ac:dyDescent="0.25">
      <c r="A65" s="259"/>
      <c r="B65" s="307"/>
      <c r="C65" s="259"/>
      <c r="D65" s="111"/>
      <c r="E65" s="97" t="s">
        <v>356</v>
      </c>
      <c r="F65" s="84">
        <v>100</v>
      </c>
      <c r="G65" s="84"/>
      <c r="H65" s="256">
        <v>100</v>
      </c>
      <c r="I65" s="256"/>
      <c r="J65" s="5">
        <v>69</v>
      </c>
      <c r="K65" s="46">
        <f>J65*F65/1000</f>
        <v>6.9</v>
      </c>
      <c r="L65" s="73"/>
      <c r="M65" s="73"/>
    </row>
    <row r="66" spans="1:13" ht="15.75" x14ac:dyDescent="0.25">
      <c r="A66" s="259"/>
      <c r="B66" s="307"/>
      <c r="C66" s="259"/>
      <c r="D66" s="111"/>
      <c r="E66" s="97" t="s">
        <v>32</v>
      </c>
      <c r="F66" s="84">
        <v>81</v>
      </c>
      <c r="G66" s="84"/>
      <c r="H66" s="256">
        <v>81</v>
      </c>
      <c r="I66" s="256"/>
      <c r="J66" s="5">
        <v>0</v>
      </c>
      <c r="K66" s="46">
        <f>J66*F66/1000</f>
        <v>0</v>
      </c>
      <c r="L66" s="73"/>
      <c r="M66" s="73"/>
    </row>
    <row r="67" spans="1:13" ht="15.75" x14ac:dyDescent="0.25">
      <c r="A67" s="259"/>
      <c r="B67" s="307"/>
      <c r="C67" s="259"/>
      <c r="D67" s="111"/>
      <c r="E67" s="76" t="s">
        <v>112</v>
      </c>
      <c r="F67" s="233" t="s">
        <v>35</v>
      </c>
      <c r="G67" s="233"/>
      <c r="H67" s="234">
        <v>200</v>
      </c>
      <c r="I67" s="234"/>
      <c r="L67" s="73"/>
      <c r="M67" s="73"/>
    </row>
    <row r="68" spans="1:13" ht="15.75" x14ac:dyDescent="0.25">
      <c r="A68" s="259"/>
      <c r="B68" s="307"/>
      <c r="C68" s="259"/>
      <c r="D68" s="111"/>
      <c r="E68" s="111"/>
      <c r="F68" s="111"/>
      <c r="G68" s="111"/>
      <c r="H68" s="111"/>
      <c r="I68" s="111"/>
      <c r="L68" s="73"/>
      <c r="M68" s="73"/>
    </row>
    <row r="69" spans="1:13" ht="15.75" x14ac:dyDescent="0.25">
      <c r="A69" s="259"/>
      <c r="B69" s="307"/>
      <c r="C69" s="259" t="s">
        <v>90</v>
      </c>
      <c r="D69" s="111">
        <v>40</v>
      </c>
      <c r="E69" s="111"/>
      <c r="F69" s="111"/>
      <c r="G69" s="111"/>
      <c r="H69" s="111"/>
      <c r="I69" s="111"/>
      <c r="J69" s="5">
        <v>55.1</v>
      </c>
      <c r="K69" s="330">
        <f>J69*D69/1000</f>
        <v>2.2040000000000002</v>
      </c>
      <c r="L69" s="73"/>
      <c r="M69" s="73"/>
    </row>
    <row r="70" spans="1:13" ht="15.75" x14ac:dyDescent="0.25">
      <c r="A70" s="259"/>
      <c r="B70" s="307"/>
      <c r="C70" s="259"/>
      <c r="D70" s="111"/>
      <c r="E70" s="111"/>
      <c r="F70" s="111"/>
      <c r="G70" s="111"/>
      <c r="H70" s="111"/>
      <c r="I70" s="111"/>
      <c r="L70" s="73"/>
      <c r="M70" s="73"/>
    </row>
    <row r="71" spans="1:13" ht="16.5" thickBot="1" x14ac:dyDescent="0.3">
      <c r="A71" s="259"/>
      <c r="B71" s="307"/>
      <c r="C71" s="259"/>
      <c r="D71" s="111"/>
      <c r="E71" s="111"/>
      <c r="F71" s="111"/>
      <c r="G71" s="111"/>
      <c r="H71" s="111"/>
      <c r="I71" s="111"/>
      <c r="L71" s="247"/>
      <c r="M71" s="247"/>
    </row>
    <row r="72" spans="1:13" ht="15.75" x14ac:dyDescent="0.25">
      <c r="A72" s="340" t="s">
        <v>357</v>
      </c>
      <c r="B72" s="261" t="s">
        <v>339</v>
      </c>
      <c r="C72" s="340"/>
      <c r="D72" s="341"/>
      <c r="E72" s="341"/>
      <c r="F72" s="341"/>
      <c r="G72" s="341"/>
      <c r="H72" s="341"/>
      <c r="I72" s="341"/>
      <c r="J72" s="13"/>
      <c r="K72" s="260"/>
      <c r="L72" s="73"/>
      <c r="M72" s="73"/>
    </row>
    <row r="73" spans="1:13" ht="15.75" x14ac:dyDescent="0.25">
      <c r="A73" s="259" t="s">
        <v>358</v>
      </c>
      <c r="B73" s="285">
        <f>K73+K79+K83+K97+K102</f>
        <v>73.346380000000011</v>
      </c>
      <c r="C73" s="259" t="s">
        <v>359</v>
      </c>
      <c r="D73" s="111">
        <v>60</v>
      </c>
      <c r="E73" s="111"/>
      <c r="F73" s="232" t="s">
        <v>331</v>
      </c>
      <c r="G73" s="232"/>
      <c r="H73" s="232" t="s">
        <v>332</v>
      </c>
      <c r="I73" s="232"/>
      <c r="K73" s="331">
        <f>K74+K75+K76</f>
        <v>3.5234999999999999</v>
      </c>
      <c r="L73" s="73"/>
      <c r="M73" s="73">
        <f>K73+K79+K83+K97+K102</f>
        <v>73.346380000000011</v>
      </c>
    </row>
    <row r="74" spans="1:13" ht="15.75" x14ac:dyDescent="0.25">
      <c r="A74" s="111"/>
      <c r="B74" s="320">
        <f>D73+D79+D83+D97+D102</f>
        <v>500</v>
      </c>
      <c r="C74" s="259"/>
      <c r="D74" s="111"/>
      <c r="E74" s="265" t="s">
        <v>131</v>
      </c>
      <c r="F74" s="84">
        <v>56.3</v>
      </c>
      <c r="G74" s="84"/>
      <c r="H74" s="256">
        <v>45</v>
      </c>
      <c r="I74" s="256"/>
      <c r="J74" s="5">
        <v>35</v>
      </c>
      <c r="K74" s="46">
        <f>F74*J74/1000</f>
        <v>1.9704999999999999</v>
      </c>
      <c r="L74" s="73"/>
      <c r="M74" s="73"/>
    </row>
    <row r="75" spans="1:13" ht="15.75" x14ac:dyDescent="0.25">
      <c r="A75" s="111"/>
      <c r="B75" s="321"/>
      <c r="C75" s="259"/>
      <c r="D75" s="111"/>
      <c r="E75" s="265" t="s">
        <v>360</v>
      </c>
      <c r="F75" s="84">
        <v>21.5</v>
      </c>
      <c r="G75" s="84"/>
      <c r="H75" s="256">
        <v>15</v>
      </c>
      <c r="I75" s="256"/>
      <c r="J75" s="5">
        <v>70</v>
      </c>
      <c r="K75" s="46">
        <f>F75*J75/1000</f>
        <v>1.5049999999999999</v>
      </c>
      <c r="L75" s="73"/>
      <c r="M75" s="73"/>
    </row>
    <row r="76" spans="1:13" ht="15.75" x14ac:dyDescent="0.25">
      <c r="A76" s="111"/>
      <c r="B76" s="320"/>
      <c r="C76" s="259"/>
      <c r="D76" s="111"/>
      <c r="E76" s="265" t="s">
        <v>162</v>
      </c>
      <c r="F76" s="84">
        <v>0.6</v>
      </c>
      <c r="G76" s="84"/>
      <c r="H76" s="256">
        <v>0.6</v>
      </c>
      <c r="I76" s="256"/>
      <c r="J76" s="5">
        <v>80</v>
      </c>
      <c r="K76" s="46">
        <f>F76*J76/1000</f>
        <v>4.8000000000000001E-2</v>
      </c>
      <c r="L76" s="73"/>
      <c r="M76" s="73"/>
    </row>
    <row r="77" spans="1:13" ht="15.75" x14ac:dyDescent="0.25">
      <c r="A77" s="111"/>
      <c r="B77" s="320"/>
      <c r="C77" s="259"/>
      <c r="D77" s="111"/>
      <c r="E77" s="76" t="s">
        <v>112</v>
      </c>
      <c r="F77" s="233" t="s">
        <v>35</v>
      </c>
      <c r="G77" s="233"/>
      <c r="H77" s="234">
        <v>60</v>
      </c>
      <c r="I77" s="234"/>
      <c r="L77" s="73"/>
      <c r="M77" s="73"/>
    </row>
    <row r="78" spans="1:13" ht="15.75" x14ac:dyDescent="0.25">
      <c r="A78" s="259"/>
      <c r="B78" s="307"/>
      <c r="C78" s="259"/>
      <c r="D78" s="111"/>
      <c r="E78" s="111"/>
      <c r="F78" s="111"/>
      <c r="G78" s="111"/>
      <c r="H78" s="111"/>
      <c r="I78" s="111"/>
      <c r="L78" s="73"/>
      <c r="M78" s="73"/>
    </row>
    <row r="79" spans="1:13" ht="15.75" x14ac:dyDescent="0.25">
      <c r="A79" s="111"/>
      <c r="B79" s="320"/>
      <c r="C79" s="259" t="s">
        <v>361</v>
      </c>
      <c r="D79" s="111">
        <v>30</v>
      </c>
      <c r="E79" s="111"/>
      <c r="F79" s="232" t="s">
        <v>331</v>
      </c>
      <c r="G79" s="232"/>
      <c r="H79" s="232" t="s">
        <v>332</v>
      </c>
      <c r="I79" s="232"/>
      <c r="K79" s="331">
        <f>K80</f>
        <v>4.5</v>
      </c>
      <c r="L79" s="73"/>
      <c r="M79" s="73"/>
    </row>
    <row r="80" spans="1:13" ht="15.75" x14ac:dyDescent="0.25">
      <c r="A80" s="111"/>
      <c r="B80" s="320"/>
      <c r="C80" s="259"/>
      <c r="D80" s="111"/>
      <c r="E80" s="265" t="s">
        <v>362</v>
      </c>
      <c r="F80" s="84">
        <v>30</v>
      </c>
      <c r="G80" s="84"/>
      <c r="H80" s="256">
        <v>30</v>
      </c>
      <c r="I80" s="256"/>
      <c r="J80" s="5">
        <v>150</v>
      </c>
      <c r="K80" s="46">
        <f>F80*J80/1000</f>
        <v>4.5</v>
      </c>
      <c r="L80" s="73"/>
      <c r="M80" s="73"/>
    </row>
    <row r="81" spans="1:13" ht="15.75" x14ac:dyDescent="0.25">
      <c r="A81" s="111"/>
      <c r="B81" s="320"/>
      <c r="C81" s="259"/>
      <c r="D81" s="111"/>
      <c r="E81" s="111"/>
      <c r="F81" s="233" t="s">
        <v>35</v>
      </c>
      <c r="G81" s="233"/>
      <c r="H81" s="234">
        <v>20</v>
      </c>
      <c r="I81" s="234"/>
      <c r="L81" s="73"/>
      <c r="M81" s="73"/>
    </row>
    <row r="82" spans="1:13" ht="15.75" x14ac:dyDescent="0.25">
      <c r="A82" s="259"/>
      <c r="B82" s="307"/>
      <c r="C82" s="259"/>
      <c r="D82" s="111"/>
      <c r="E82" s="111"/>
      <c r="F82" s="111"/>
      <c r="G82" s="111"/>
      <c r="H82" s="111"/>
      <c r="I82" s="111"/>
      <c r="L82" s="73"/>
      <c r="M82" s="73"/>
    </row>
    <row r="83" spans="1:13" ht="15.75" x14ac:dyDescent="0.25">
      <c r="A83" s="111"/>
      <c r="B83" s="320"/>
      <c r="C83" s="287" t="s">
        <v>363</v>
      </c>
      <c r="D83" s="111">
        <v>170</v>
      </c>
      <c r="E83" s="111"/>
      <c r="F83" s="98" t="s">
        <v>331</v>
      </c>
      <c r="G83" s="98" t="s">
        <v>332</v>
      </c>
      <c r="H83" s="232"/>
      <c r="I83" s="232"/>
      <c r="K83" s="331">
        <f>K84+K85+K86+K87+K88+K89+K90+K91+K92+K93+K94</f>
        <v>61.112879999999997</v>
      </c>
      <c r="L83" s="73"/>
      <c r="M83" s="73"/>
    </row>
    <row r="84" spans="1:13" ht="15.75" x14ac:dyDescent="0.25">
      <c r="A84" s="111"/>
      <c r="B84" s="320"/>
      <c r="C84" s="259"/>
      <c r="D84" s="111"/>
      <c r="E84" s="7" t="s">
        <v>116</v>
      </c>
      <c r="F84" s="185">
        <v>158.1</v>
      </c>
      <c r="G84" s="185">
        <v>158.1</v>
      </c>
      <c r="H84" s="256"/>
      <c r="I84" s="256"/>
      <c r="J84" s="5">
        <v>318</v>
      </c>
      <c r="K84" s="46">
        <f t="shared" ref="K84:K94" si="3">J84*F84/1000</f>
        <v>50.275799999999997</v>
      </c>
      <c r="L84" s="73"/>
      <c r="M84" s="73"/>
    </row>
    <row r="85" spans="1:13" ht="15.75" x14ac:dyDescent="0.25">
      <c r="A85" s="111"/>
      <c r="B85" s="320"/>
      <c r="C85" s="259"/>
      <c r="D85" s="111"/>
      <c r="E85" s="7" t="s">
        <v>315</v>
      </c>
      <c r="F85" s="185">
        <v>5.9</v>
      </c>
      <c r="G85" s="185">
        <v>5.9</v>
      </c>
      <c r="H85" s="256"/>
      <c r="I85" s="256"/>
      <c r="J85" s="5">
        <v>200</v>
      </c>
      <c r="K85" s="46">
        <f t="shared" si="3"/>
        <v>1.18</v>
      </c>
      <c r="L85" s="73"/>
      <c r="M85" s="73"/>
    </row>
    <row r="86" spans="1:13" ht="15.75" x14ac:dyDescent="0.25">
      <c r="A86" s="111"/>
      <c r="B86" s="320"/>
      <c r="C86" s="259"/>
      <c r="D86" s="111"/>
      <c r="E86" s="7" t="s">
        <v>114</v>
      </c>
      <c r="F86" s="185">
        <v>4.9800000000000004</v>
      </c>
      <c r="G86" s="185">
        <v>4.54</v>
      </c>
      <c r="H86" s="256"/>
      <c r="I86" s="256"/>
      <c r="J86" s="278">
        <v>216</v>
      </c>
      <c r="K86" s="46">
        <f t="shared" si="3"/>
        <v>1.07568</v>
      </c>
      <c r="L86" s="73"/>
      <c r="M86" s="73"/>
    </row>
    <row r="87" spans="1:13" ht="15.75" x14ac:dyDescent="0.25">
      <c r="A87" s="111"/>
      <c r="B87" s="320"/>
      <c r="C87" s="259"/>
      <c r="D87" s="111"/>
      <c r="E87" s="7" t="s">
        <v>117</v>
      </c>
      <c r="F87" s="185">
        <v>11</v>
      </c>
      <c r="G87" s="185">
        <v>11</v>
      </c>
      <c r="H87" s="288"/>
      <c r="I87" s="288"/>
      <c r="J87" s="278">
        <v>46</v>
      </c>
      <c r="K87" s="46">
        <f t="shared" si="3"/>
        <v>0.50600000000000001</v>
      </c>
      <c r="L87" s="73"/>
      <c r="M87" s="73"/>
    </row>
    <row r="88" spans="1:13" ht="15.75" x14ac:dyDescent="0.25">
      <c r="A88" s="111"/>
      <c r="B88" s="320"/>
      <c r="C88" s="259"/>
      <c r="D88" s="111"/>
      <c r="E88" s="7" t="s">
        <v>33</v>
      </c>
      <c r="F88" s="185">
        <v>11</v>
      </c>
      <c r="G88" s="185">
        <v>11</v>
      </c>
      <c r="H88" s="256"/>
      <c r="I88" s="256"/>
      <c r="J88" s="5">
        <v>80</v>
      </c>
      <c r="K88" s="46">
        <f t="shared" si="3"/>
        <v>0.88</v>
      </c>
      <c r="L88" s="73"/>
      <c r="M88" s="73"/>
    </row>
    <row r="89" spans="1:13" s="14" customFormat="1" ht="15.75" x14ac:dyDescent="0.25">
      <c r="A89" s="111"/>
      <c r="B89" s="320"/>
      <c r="C89" s="259"/>
      <c r="D89" s="111"/>
      <c r="E89" s="7" t="s">
        <v>180</v>
      </c>
      <c r="F89" s="185">
        <v>5.9</v>
      </c>
      <c r="G89" s="185">
        <v>5.9</v>
      </c>
      <c r="H89" s="256"/>
      <c r="I89" s="256"/>
      <c r="J89" s="5">
        <v>228</v>
      </c>
      <c r="K89" s="46">
        <f t="shared" si="3"/>
        <v>1.3452</v>
      </c>
      <c r="L89" s="73"/>
      <c r="M89" s="73"/>
    </row>
    <row r="90" spans="1:13" ht="15.75" x14ac:dyDescent="0.25">
      <c r="A90" s="259"/>
      <c r="B90" s="307"/>
      <c r="C90" s="259"/>
      <c r="D90" s="111"/>
      <c r="E90" s="7" t="s">
        <v>22</v>
      </c>
      <c r="F90" s="185">
        <v>5.9</v>
      </c>
      <c r="G90" s="185">
        <v>5.9</v>
      </c>
      <c r="H90" s="256"/>
      <c r="I90" s="256"/>
      <c r="J90" s="5">
        <v>990</v>
      </c>
      <c r="K90" s="46">
        <f t="shared" si="3"/>
        <v>5.8410000000000002</v>
      </c>
      <c r="L90" s="73"/>
      <c r="M90" s="73"/>
    </row>
    <row r="91" spans="1:13" ht="25.5" x14ac:dyDescent="0.25">
      <c r="A91" s="259"/>
      <c r="B91" s="307"/>
      <c r="C91" s="259"/>
      <c r="D91" s="111"/>
      <c r="E91" s="7" t="s">
        <v>34</v>
      </c>
      <c r="F91" s="185">
        <v>0.46</v>
      </c>
      <c r="G91" s="185">
        <v>0.46</v>
      </c>
      <c r="H91" s="256"/>
      <c r="I91" s="256"/>
      <c r="J91" s="5">
        <v>20</v>
      </c>
      <c r="K91" s="46">
        <f t="shared" si="3"/>
        <v>9.2000000000000016E-3</v>
      </c>
      <c r="L91" s="73"/>
      <c r="M91" s="73"/>
    </row>
    <row r="92" spans="1:13" ht="15.75" x14ac:dyDescent="0.25">
      <c r="A92" s="259"/>
      <c r="B92" s="307"/>
      <c r="C92" s="259"/>
      <c r="D92" s="111"/>
      <c r="E92" s="7" t="s">
        <v>32</v>
      </c>
      <c r="F92" s="185">
        <v>40.799999999999997</v>
      </c>
      <c r="G92" s="185">
        <v>40.799999999999997</v>
      </c>
      <c r="H92" s="256"/>
      <c r="I92" s="256"/>
      <c r="J92" s="5">
        <v>0</v>
      </c>
      <c r="K92" s="46">
        <f t="shared" si="3"/>
        <v>0</v>
      </c>
      <c r="L92" s="73"/>
      <c r="M92" s="73"/>
    </row>
    <row r="93" spans="1:13" ht="15.75" x14ac:dyDescent="0.25">
      <c r="A93" s="259"/>
      <c r="B93" s="307"/>
      <c r="C93" s="259"/>
      <c r="D93" s="111"/>
      <c r="E93" s="7" t="s">
        <v>118</v>
      </c>
      <c r="F93" s="185">
        <v>0.05</v>
      </c>
      <c r="G93" s="185">
        <v>0.05</v>
      </c>
      <c r="H93" s="256"/>
      <c r="I93" s="256"/>
      <c r="J93" s="54"/>
      <c r="K93" s="46">
        <f t="shared" si="3"/>
        <v>0</v>
      </c>
      <c r="L93" s="73"/>
      <c r="M93" s="73"/>
    </row>
    <row r="94" spans="1:13" ht="15.75" x14ac:dyDescent="0.25">
      <c r="A94" s="259"/>
      <c r="B94" s="307"/>
      <c r="C94" s="259"/>
      <c r="D94" s="111"/>
      <c r="E94" s="56" t="s">
        <v>23</v>
      </c>
      <c r="F94" s="217">
        <v>170</v>
      </c>
      <c r="G94" s="217"/>
      <c r="H94" s="256"/>
      <c r="I94" s="256"/>
      <c r="K94" s="46">
        <f t="shared" si="3"/>
        <v>0</v>
      </c>
      <c r="L94" s="73"/>
      <c r="M94" s="73"/>
    </row>
    <row r="95" spans="1:13" ht="15.75" x14ac:dyDescent="0.25">
      <c r="A95" s="259"/>
      <c r="B95" s="307"/>
      <c r="C95" s="259"/>
      <c r="D95" s="111"/>
      <c r="E95" s="76"/>
      <c r="F95" s="233"/>
      <c r="G95" s="233"/>
      <c r="H95" s="234"/>
      <c r="I95" s="234"/>
      <c r="L95" s="73"/>
      <c r="M95" s="73"/>
    </row>
    <row r="96" spans="1:13" ht="15.75" x14ac:dyDescent="0.25">
      <c r="A96" s="259"/>
      <c r="B96" s="307"/>
      <c r="C96" s="259"/>
      <c r="D96" s="111"/>
      <c r="E96" s="111"/>
      <c r="F96" s="111"/>
      <c r="G96" s="111"/>
      <c r="H96" s="111"/>
      <c r="I96" s="111"/>
      <c r="L96" s="73"/>
      <c r="M96" s="73"/>
    </row>
    <row r="97" spans="1:13" ht="15.75" x14ac:dyDescent="0.25">
      <c r="A97" s="259"/>
      <c r="B97" s="307"/>
      <c r="C97" s="259" t="s">
        <v>89</v>
      </c>
      <c r="D97" s="111">
        <v>200</v>
      </c>
      <c r="E97" s="111"/>
      <c r="F97" s="232" t="s">
        <v>331</v>
      </c>
      <c r="G97" s="232"/>
      <c r="H97" s="232" t="s">
        <v>332</v>
      </c>
      <c r="I97" s="232"/>
      <c r="K97" s="331">
        <f>K98+K99</f>
        <v>1.5899999999999999</v>
      </c>
      <c r="L97" s="73"/>
      <c r="M97" s="73"/>
    </row>
    <row r="98" spans="1:13" ht="15.75" x14ac:dyDescent="0.25">
      <c r="A98" s="259"/>
      <c r="B98" s="307"/>
      <c r="C98" s="259"/>
      <c r="D98" s="111"/>
      <c r="E98" s="265" t="s">
        <v>275</v>
      </c>
      <c r="F98" s="84">
        <v>0.6</v>
      </c>
      <c r="G98" s="84"/>
      <c r="H98" s="256">
        <v>0.6</v>
      </c>
      <c r="I98" s="256"/>
      <c r="J98" s="5">
        <v>650</v>
      </c>
      <c r="K98" s="46">
        <f>F98*J98/1000</f>
        <v>0.39</v>
      </c>
      <c r="L98" s="73"/>
      <c r="M98" s="73"/>
    </row>
    <row r="99" spans="1:13" ht="15.75" x14ac:dyDescent="0.25">
      <c r="A99" s="259"/>
      <c r="B99" s="307"/>
      <c r="C99" s="259"/>
      <c r="D99" s="111"/>
      <c r="E99" s="97" t="s">
        <v>162</v>
      </c>
      <c r="F99" s="84">
        <v>15</v>
      </c>
      <c r="G99" s="84"/>
      <c r="H99" s="256">
        <v>15</v>
      </c>
      <c r="I99" s="256"/>
      <c r="J99" s="5">
        <v>80</v>
      </c>
      <c r="K99" s="46">
        <f>F99*J99/1000</f>
        <v>1.2</v>
      </c>
      <c r="L99" s="73"/>
      <c r="M99" s="73"/>
    </row>
    <row r="100" spans="1:13" ht="15.75" x14ac:dyDescent="0.25">
      <c r="A100" s="259"/>
      <c r="B100" s="307"/>
      <c r="C100" s="259"/>
      <c r="D100" s="111"/>
      <c r="E100" s="76" t="s">
        <v>112</v>
      </c>
      <c r="F100" s="233" t="s">
        <v>35</v>
      </c>
      <c r="G100" s="233"/>
      <c r="H100" s="234">
        <v>200</v>
      </c>
      <c r="I100" s="234"/>
      <c r="L100" s="73"/>
      <c r="M100" s="73"/>
    </row>
    <row r="101" spans="1:13" ht="15.75" x14ac:dyDescent="0.25">
      <c r="A101" s="259"/>
      <c r="B101" s="307"/>
      <c r="C101" s="259"/>
      <c r="D101" s="111"/>
      <c r="E101" s="111"/>
      <c r="F101" s="111"/>
      <c r="G101" s="111"/>
      <c r="H101" s="111"/>
      <c r="I101" s="111"/>
      <c r="L101" s="73"/>
      <c r="M101" s="73"/>
    </row>
    <row r="102" spans="1:13" ht="15.75" x14ac:dyDescent="0.25">
      <c r="A102" s="259"/>
      <c r="B102" s="307"/>
      <c r="C102" s="259" t="s">
        <v>364</v>
      </c>
      <c r="D102" s="111">
        <v>40</v>
      </c>
      <c r="E102" s="111"/>
      <c r="F102" s="111"/>
      <c r="G102" s="111"/>
      <c r="H102" s="111"/>
      <c r="I102" s="111"/>
      <c r="J102" s="5">
        <v>65.5</v>
      </c>
      <c r="K102" s="331">
        <f>D102*J102/1000</f>
        <v>2.62</v>
      </c>
      <c r="L102" s="73"/>
      <c r="M102" s="73"/>
    </row>
    <row r="103" spans="1:13" ht="16.5" thickBot="1" x14ac:dyDescent="0.3">
      <c r="A103" s="259"/>
      <c r="B103" s="307"/>
      <c r="C103" s="259"/>
      <c r="D103" s="111"/>
      <c r="E103" s="111"/>
      <c r="F103" s="111"/>
      <c r="G103" s="111"/>
      <c r="H103" s="111"/>
      <c r="I103" s="111"/>
      <c r="L103" s="247"/>
      <c r="M103" s="247"/>
    </row>
    <row r="104" spans="1:13" ht="15.75" x14ac:dyDescent="0.25">
      <c r="A104" s="340" t="s">
        <v>365</v>
      </c>
      <c r="B104" s="261" t="s">
        <v>339</v>
      </c>
      <c r="C104" s="340" t="s">
        <v>366</v>
      </c>
      <c r="D104" s="341">
        <v>150</v>
      </c>
      <c r="E104" s="341"/>
      <c r="F104" s="341"/>
      <c r="G104" s="341"/>
      <c r="H104" s="341"/>
      <c r="I104" s="341"/>
      <c r="J104" s="349">
        <v>190</v>
      </c>
      <c r="K104" s="260">
        <f>D104*J104/1000</f>
        <v>28.5</v>
      </c>
      <c r="L104" s="73"/>
      <c r="M104" s="73"/>
    </row>
    <row r="105" spans="1:13" ht="15.75" x14ac:dyDescent="0.25">
      <c r="A105" s="259" t="s">
        <v>367</v>
      </c>
      <c r="B105" s="298">
        <f>K107+K104+K118+K124+K130</f>
        <v>89.827435999999992</v>
      </c>
      <c r="C105" s="259"/>
      <c r="D105" s="111"/>
      <c r="E105" s="111"/>
      <c r="F105" s="111"/>
      <c r="G105" s="111"/>
      <c r="H105" s="111"/>
      <c r="I105" s="111"/>
      <c r="L105" s="73"/>
      <c r="M105" s="73">
        <f>K104+K107+K118+K124+K130</f>
        <v>89.827435999999992</v>
      </c>
    </row>
    <row r="106" spans="1:13" ht="15.75" x14ac:dyDescent="0.25">
      <c r="A106" s="259"/>
      <c r="B106" s="307">
        <f>D104+D107+D118+D124+D130</f>
        <v>540</v>
      </c>
      <c r="C106" s="259"/>
      <c r="D106" s="111"/>
      <c r="E106" s="111"/>
      <c r="F106" s="111"/>
      <c r="G106" s="111"/>
      <c r="H106" s="111"/>
      <c r="I106" s="111"/>
      <c r="L106" s="73"/>
      <c r="M106" s="73"/>
    </row>
    <row r="107" spans="1:13" ht="15.75" x14ac:dyDescent="0.25">
      <c r="A107" s="111"/>
      <c r="B107" s="320"/>
      <c r="C107" s="259" t="s">
        <v>368</v>
      </c>
      <c r="D107" s="111"/>
      <c r="E107" s="111"/>
      <c r="F107" s="232" t="s">
        <v>331</v>
      </c>
      <c r="G107" s="232"/>
      <c r="H107" s="232" t="s">
        <v>332</v>
      </c>
      <c r="I107" s="232"/>
      <c r="K107" s="333">
        <f>SUM(K109:K115)</f>
        <v>50.414435999999995</v>
      </c>
      <c r="L107" s="248"/>
      <c r="M107" s="248"/>
    </row>
    <row r="108" spans="1:13" ht="15.75" x14ac:dyDescent="0.25">
      <c r="A108" s="111"/>
      <c r="B108" s="320"/>
      <c r="C108" s="259"/>
      <c r="D108" s="111"/>
      <c r="E108" s="290"/>
      <c r="F108" s="256"/>
      <c r="G108" s="256"/>
      <c r="H108" s="84"/>
      <c r="I108" s="84"/>
      <c r="K108" s="46">
        <f t="shared" ref="K108:K115" si="4">J108/1000*F108</f>
        <v>0</v>
      </c>
      <c r="L108" s="251"/>
      <c r="M108" s="251"/>
    </row>
    <row r="109" spans="1:13" ht="15.75" x14ac:dyDescent="0.25">
      <c r="A109" s="111"/>
      <c r="B109" s="320"/>
      <c r="C109" s="259"/>
      <c r="D109" s="111"/>
      <c r="E109" s="291" t="s">
        <v>369</v>
      </c>
      <c r="F109" s="218">
        <v>127.8</v>
      </c>
      <c r="G109" s="218"/>
      <c r="H109" s="218">
        <v>91.8</v>
      </c>
      <c r="I109" s="218"/>
      <c r="J109" s="5">
        <v>365</v>
      </c>
      <c r="K109" s="46">
        <f t="shared" si="4"/>
        <v>46.646999999999998</v>
      </c>
      <c r="L109" s="251"/>
      <c r="M109" s="251"/>
    </row>
    <row r="110" spans="1:13" s="14" customFormat="1" ht="15.75" x14ac:dyDescent="0.25">
      <c r="A110" s="111"/>
      <c r="B110" s="320"/>
      <c r="C110" s="259"/>
      <c r="D110" s="111"/>
      <c r="E110" s="291" t="s">
        <v>125</v>
      </c>
      <c r="F110" s="218">
        <v>10.8</v>
      </c>
      <c r="G110" s="218"/>
      <c r="H110" s="218">
        <v>10.8</v>
      </c>
      <c r="I110" s="218"/>
      <c r="J110" s="5">
        <v>177.17</v>
      </c>
      <c r="K110" s="46">
        <f t="shared" si="4"/>
        <v>1.9134360000000001</v>
      </c>
      <c r="L110" s="251"/>
      <c r="M110" s="251"/>
    </row>
    <row r="111" spans="1:13" ht="15.75" x14ac:dyDescent="0.25">
      <c r="A111" s="111"/>
      <c r="B111" s="320"/>
      <c r="C111" s="259"/>
      <c r="D111" s="111"/>
      <c r="E111" s="291" t="s">
        <v>295</v>
      </c>
      <c r="F111" s="218">
        <v>16.2</v>
      </c>
      <c r="G111" s="218"/>
      <c r="H111" s="218">
        <v>16.2</v>
      </c>
      <c r="I111" s="218"/>
      <c r="J111" s="5">
        <v>27</v>
      </c>
      <c r="K111" s="46">
        <f t="shared" si="4"/>
        <v>0.43739999999999996</v>
      </c>
      <c r="L111" s="251"/>
      <c r="M111" s="251"/>
    </row>
    <row r="112" spans="1:13" ht="15.75" x14ac:dyDescent="0.25">
      <c r="A112" s="111"/>
      <c r="B112" s="320"/>
      <c r="C112" s="259"/>
      <c r="D112" s="111"/>
      <c r="E112" s="291" t="s">
        <v>182</v>
      </c>
      <c r="F112" s="218">
        <v>5.4</v>
      </c>
      <c r="G112" s="218"/>
      <c r="H112" s="218">
        <v>5.4</v>
      </c>
      <c r="I112" s="218"/>
      <c r="J112" s="5">
        <v>39</v>
      </c>
      <c r="K112" s="46">
        <f t="shared" si="4"/>
        <v>0.21060000000000001</v>
      </c>
      <c r="L112" s="251"/>
      <c r="M112" s="251"/>
    </row>
    <row r="113" spans="1:13" ht="15.75" x14ac:dyDescent="0.25">
      <c r="A113" s="111"/>
      <c r="B113" s="320"/>
      <c r="C113" s="259"/>
      <c r="D113" s="111"/>
      <c r="E113" s="291" t="s">
        <v>370</v>
      </c>
      <c r="F113" s="218">
        <v>5.4</v>
      </c>
      <c r="G113" s="218"/>
      <c r="H113" s="218">
        <v>5.4</v>
      </c>
      <c r="I113" s="218"/>
      <c r="J113" s="5">
        <v>210</v>
      </c>
      <c r="K113" s="46">
        <f t="shared" si="4"/>
        <v>1.1340000000000001</v>
      </c>
      <c r="L113" s="251"/>
      <c r="M113" s="251"/>
    </row>
    <row r="114" spans="1:13" ht="15.75" x14ac:dyDescent="0.25">
      <c r="A114" s="111"/>
      <c r="B114" s="320"/>
      <c r="C114" s="259"/>
      <c r="D114" s="111"/>
      <c r="E114" s="291" t="s">
        <v>371</v>
      </c>
      <c r="F114" s="218">
        <v>3.6</v>
      </c>
      <c r="G114" s="218"/>
      <c r="H114" s="218">
        <v>3.6</v>
      </c>
      <c r="I114" s="218"/>
      <c r="J114" s="5">
        <v>20</v>
      </c>
      <c r="K114" s="46">
        <f t="shared" si="4"/>
        <v>7.2000000000000008E-2</v>
      </c>
      <c r="L114" s="251"/>
      <c r="M114" s="251"/>
    </row>
    <row r="115" spans="1:13" ht="15.75" x14ac:dyDescent="0.25">
      <c r="A115" s="111"/>
      <c r="B115" s="320"/>
      <c r="C115" s="259"/>
      <c r="D115" s="111"/>
      <c r="E115" s="291" t="s">
        <v>23</v>
      </c>
      <c r="F115" s="256">
        <v>90</v>
      </c>
      <c r="G115" s="256"/>
      <c r="H115" s="256"/>
      <c r="I115" s="256"/>
      <c r="K115" s="46">
        <f t="shared" si="4"/>
        <v>0</v>
      </c>
      <c r="L115" s="251"/>
      <c r="M115" s="251"/>
    </row>
    <row r="116" spans="1:13" ht="15.75" x14ac:dyDescent="0.25">
      <c r="A116" s="111"/>
      <c r="B116" s="320"/>
      <c r="C116" s="259"/>
      <c r="D116" s="111"/>
      <c r="E116" s="76"/>
      <c r="F116" s="12"/>
      <c r="G116" s="12"/>
      <c r="H116" s="234"/>
      <c r="I116" s="234"/>
      <c r="L116" s="73"/>
      <c r="M116" s="73"/>
    </row>
    <row r="117" spans="1:13" ht="15.75" x14ac:dyDescent="0.25">
      <c r="A117" s="259"/>
      <c r="B117" s="307"/>
      <c r="C117" s="259"/>
      <c r="D117" s="111"/>
      <c r="E117" s="111"/>
      <c r="F117" s="111"/>
      <c r="G117" s="111"/>
      <c r="H117" s="111"/>
      <c r="I117" s="111"/>
      <c r="L117" s="73"/>
      <c r="M117" s="73"/>
    </row>
    <row r="118" spans="1:13" ht="15.75" x14ac:dyDescent="0.25">
      <c r="A118" s="111"/>
      <c r="B118" s="320"/>
      <c r="C118" s="259" t="s">
        <v>372</v>
      </c>
      <c r="D118" s="111">
        <v>150</v>
      </c>
      <c r="E118" s="111"/>
      <c r="F118" s="232" t="s">
        <v>331</v>
      </c>
      <c r="G118" s="232"/>
      <c r="H118" s="232" t="s">
        <v>332</v>
      </c>
      <c r="I118" s="232"/>
      <c r="K118" s="332">
        <f>SUM(K119:K121)</f>
        <v>6.0440000000000005</v>
      </c>
      <c r="L118" s="73"/>
      <c r="M118" s="73"/>
    </row>
    <row r="119" spans="1:13" ht="15.75" x14ac:dyDescent="0.25">
      <c r="A119" s="111"/>
      <c r="B119" s="320"/>
      <c r="C119" s="259"/>
      <c r="D119" s="111"/>
      <c r="E119" s="265" t="s">
        <v>166</v>
      </c>
      <c r="F119" s="84">
        <v>52</v>
      </c>
      <c r="G119" s="84"/>
      <c r="H119" s="256">
        <v>52</v>
      </c>
      <c r="I119" s="256"/>
      <c r="J119" s="5">
        <v>59</v>
      </c>
      <c r="K119" s="46">
        <f>F119*J119/1000</f>
        <v>3.0680000000000001</v>
      </c>
      <c r="L119" s="73"/>
      <c r="M119" s="73"/>
    </row>
    <row r="120" spans="1:13" ht="15.75" x14ac:dyDescent="0.25">
      <c r="A120" s="111"/>
      <c r="B120" s="320"/>
      <c r="C120" s="259"/>
      <c r="D120" s="111"/>
      <c r="E120" s="265" t="s">
        <v>142</v>
      </c>
      <c r="F120" s="84">
        <v>0.3</v>
      </c>
      <c r="G120" s="84"/>
      <c r="H120" s="256">
        <v>0.3</v>
      </c>
      <c r="I120" s="256"/>
      <c r="J120" s="5">
        <v>20</v>
      </c>
      <c r="K120" s="46">
        <f>F120*J120/1000</f>
        <v>6.0000000000000001E-3</v>
      </c>
      <c r="L120" s="73"/>
      <c r="M120" s="73"/>
    </row>
    <row r="121" spans="1:13" ht="15.75" x14ac:dyDescent="0.25">
      <c r="A121" s="111"/>
      <c r="B121" s="320"/>
      <c r="C121" s="259"/>
      <c r="D121" s="111"/>
      <c r="E121" s="265" t="s">
        <v>22</v>
      </c>
      <c r="F121" s="84">
        <v>3</v>
      </c>
      <c r="G121" s="84"/>
      <c r="H121" s="256">
        <v>3</v>
      </c>
      <c r="I121" s="256"/>
      <c r="J121" s="5">
        <v>990</v>
      </c>
      <c r="K121" s="46">
        <f>F121*J121/1000</f>
        <v>2.97</v>
      </c>
      <c r="L121" s="73"/>
      <c r="M121" s="73"/>
    </row>
    <row r="122" spans="1:13" ht="15.75" x14ac:dyDescent="0.25">
      <c r="A122" s="259"/>
      <c r="B122" s="307"/>
      <c r="C122" s="259"/>
      <c r="D122" s="111"/>
      <c r="E122" s="76" t="s">
        <v>112</v>
      </c>
      <c r="F122" s="12" t="s">
        <v>35</v>
      </c>
      <c r="G122" s="12"/>
      <c r="H122" s="234">
        <v>150</v>
      </c>
      <c r="I122" s="234"/>
      <c r="L122" s="73"/>
      <c r="M122" s="73"/>
    </row>
    <row r="123" spans="1:13" ht="15.75" x14ac:dyDescent="0.25">
      <c r="A123" s="259"/>
      <c r="B123" s="307"/>
      <c r="C123" s="259"/>
      <c r="D123" s="111"/>
      <c r="E123" s="111"/>
      <c r="F123" s="111"/>
      <c r="G123" s="111"/>
      <c r="H123" s="111"/>
      <c r="I123" s="111"/>
      <c r="L123" s="73"/>
      <c r="M123" s="73"/>
    </row>
    <row r="124" spans="1:13" ht="15.75" x14ac:dyDescent="0.25">
      <c r="A124" s="259"/>
      <c r="B124" s="307"/>
      <c r="C124" s="259" t="s">
        <v>5</v>
      </c>
      <c r="D124" s="111">
        <v>200</v>
      </c>
      <c r="E124" s="111"/>
      <c r="F124" s="232" t="s">
        <v>331</v>
      </c>
      <c r="G124" s="232"/>
      <c r="H124" s="232" t="s">
        <v>332</v>
      </c>
      <c r="I124" s="232"/>
      <c r="K124" s="332">
        <f>SUM(K125:K127)</f>
        <v>2.665</v>
      </c>
      <c r="L124" s="73"/>
      <c r="M124" s="73"/>
    </row>
    <row r="125" spans="1:13" ht="15.75" x14ac:dyDescent="0.25">
      <c r="A125" s="259"/>
      <c r="B125" s="307"/>
      <c r="C125" s="259"/>
      <c r="D125" s="111"/>
      <c r="E125" s="265" t="s">
        <v>275</v>
      </c>
      <c r="F125" s="84">
        <v>0.6</v>
      </c>
      <c r="G125" s="84"/>
      <c r="H125" s="256">
        <v>0.6</v>
      </c>
      <c r="I125" s="256"/>
      <c r="J125" s="5">
        <v>650</v>
      </c>
      <c r="K125" s="46">
        <f>F125*J125/1000</f>
        <v>0.39</v>
      </c>
      <c r="L125" s="73"/>
      <c r="M125" s="73"/>
    </row>
    <row r="126" spans="1:13" ht="15.75" x14ac:dyDescent="0.25">
      <c r="A126" s="259"/>
      <c r="B126" s="307"/>
      <c r="C126" s="259"/>
      <c r="D126" s="111"/>
      <c r="E126" s="97" t="s">
        <v>162</v>
      </c>
      <c r="F126" s="84">
        <v>15</v>
      </c>
      <c r="G126" s="84"/>
      <c r="H126" s="256">
        <v>15</v>
      </c>
      <c r="I126" s="256"/>
      <c r="J126" s="5">
        <v>80</v>
      </c>
      <c r="K126" s="46">
        <f>F126*J126/1000</f>
        <v>1.2</v>
      </c>
      <c r="L126" s="73"/>
      <c r="M126" s="73"/>
    </row>
    <row r="127" spans="1:13" ht="15.75" x14ac:dyDescent="0.25">
      <c r="A127" s="259"/>
      <c r="B127" s="307"/>
      <c r="C127" s="259"/>
      <c r="D127" s="111"/>
      <c r="E127" s="97" t="s">
        <v>300</v>
      </c>
      <c r="F127" s="84">
        <v>5</v>
      </c>
      <c r="G127" s="84"/>
      <c r="H127" s="347">
        <v>4</v>
      </c>
      <c r="I127" s="348"/>
      <c r="J127" s="5">
        <v>215</v>
      </c>
      <c r="K127" s="46">
        <f>F127*J127/1000</f>
        <v>1.075</v>
      </c>
      <c r="L127" s="73"/>
      <c r="M127" s="73"/>
    </row>
    <row r="128" spans="1:13" ht="15.75" x14ac:dyDescent="0.25">
      <c r="A128" s="259"/>
      <c r="B128" s="307"/>
      <c r="C128" s="259"/>
      <c r="D128" s="111"/>
      <c r="E128" s="76" t="s">
        <v>112</v>
      </c>
      <c r="F128" s="233" t="s">
        <v>35</v>
      </c>
      <c r="G128" s="233"/>
      <c r="H128" s="233" t="s">
        <v>373</v>
      </c>
      <c r="I128" s="233"/>
      <c r="L128" s="73"/>
      <c r="M128" s="73"/>
    </row>
    <row r="129" spans="1:13" ht="15.75" x14ac:dyDescent="0.25">
      <c r="A129" s="259"/>
      <c r="B129" s="307"/>
      <c r="C129" s="259"/>
      <c r="D129" s="111"/>
      <c r="E129" s="111"/>
      <c r="F129" s="111"/>
      <c r="G129" s="111"/>
      <c r="H129" s="111"/>
      <c r="I129" s="111"/>
      <c r="L129" s="73"/>
      <c r="M129" s="73"/>
    </row>
    <row r="130" spans="1:13" s="14" customFormat="1" ht="15.75" x14ac:dyDescent="0.25">
      <c r="A130" s="259"/>
      <c r="B130" s="307"/>
      <c r="C130" s="259" t="s">
        <v>90</v>
      </c>
      <c r="D130" s="111">
        <v>40</v>
      </c>
      <c r="E130" s="111"/>
      <c r="F130" s="111"/>
      <c r="G130" s="111"/>
      <c r="H130" s="111"/>
      <c r="I130" s="111"/>
      <c r="J130" s="5">
        <v>55.1</v>
      </c>
      <c r="K130" s="332">
        <f>J130*D130/1000</f>
        <v>2.2040000000000002</v>
      </c>
      <c r="L130" s="73"/>
      <c r="M130" s="73"/>
    </row>
    <row r="131" spans="1:13" ht="16.5" thickBot="1" x14ac:dyDescent="0.3">
      <c r="A131" s="259"/>
      <c r="B131" s="307"/>
      <c r="C131" s="259"/>
      <c r="D131" s="111"/>
      <c r="E131" s="111"/>
      <c r="F131" s="111"/>
      <c r="G131" s="111"/>
      <c r="H131" s="111"/>
      <c r="I131" s="111"/>
      <c r="L131" s="247"/>
      <c r="M131" s="247"/>
    </row>
    <row r="132" spans="1:13" ht="15.75" x14ac:dyDescent="0.25">
      <c r="A132" s="340" t="s">
        <v>374</v>
      </c>
      <c r="B132" s="261" t="s">
        <v>339</v>
      </c>
      <c r="C132" s="343"/>
      <c r="D132" s="344"/>
      <c r="E132" s="344"/>
      <c r="F132" s="345"/>
      <c r="G132" s="345"/>
      <c r="H132" s="345"/>
      <c r="I132" s="345"/>
      <c r="J132" s="342"/>
      <c r="K132" s="346"/>
      <c r="L132" s="73"/>
      <c r="M132" s="73"/>
    </row>
    <row r="133" spans="1:13" ht="15.75" x14ac:dyDescent="0.25">
      <c r="A133" s="259" t="s">
        <v>375</v>
      </c>
      <c r="B133" s="322">
        <f>K133+K137+K146+K148+K150</f>
        <v>47.769999999999996</v>
      </c>
      <c r="C133" s="276" t="s">
        <v>347</v>
      </c>
      <c r="D133" s="277">
        <v>40</v>
      </c>
      <c r="E133" s="277"/>
      <c r="F133" s="277">
        <v>42</v>
      </c>
      <c r="G133" s="277"/>
      <c r="H133" s="277"/>
      <c r="I133" s="277"/>
      <c r="J133" s="278"/>
      <c r="K133" s="329">
        <f>J133*F133/1000</f>
        <v>0</v>
      </c>
      <c r="L133" s="73"/>
      <c r="M133" s="73">
        <f>K137+K146+K148+K150</f>
        <v>47.769999999999996</v>
      </c>
    </row>
    <row r="134" spans="1:13" ht="15.75" x14ac:dyDescent="0.25">
      <c r="A134" s="259"/>
      <c r="B134" s="307">
        <f>D133+D137+D148+D146+D150</f>
        <v>630</v>
      </c>
      <c r="C134" s="292"/>
      <c r="D134" s="286"/>
      <c r="E134" s="252"/>
      <c r="F134" s="253"/>
      <c r="G134" s="253"/>
      <c r="H134" s="254"/>
      <c r="I134" s="254"/>
      <c r="J134" s="293"/>
      <c r="K134" s="334"/>
      <c r="L134" s="73"/>
      <c r="M134" s="73"/>
    </row>
    <row r="135" spans="1:13" ht="15.75" x14ac:dyDescent="0.25">
      <c r="A135" s="259"/>
      <c r="B135" s="307"/>
      <c r="C135" s="259"/>
      <c r="D135" s="111"/>
      <c r="E135" s="111"/>
      <c r="F135" s="255"/>
      <c r="G135" s="255"/>
      <c r="H135" s="255"/>
      <c r="I135" s="255"/>
      <c r="L135" s="73"/>
      <c r="M135" s="73"/>
    </row>
    <row r="136" spans="1:13" ht="15.75" x14ac:dyDescent="0.25">
      <c r="A136" s="259"/>
      <c r="B136" s="307"/>
      <c r="C136" s="259"/>
      <c r="D136" s="111"/>
      <c r="E136" s="111"/>
      <c r="F136" s="111"/>
      <c r="G136" s="111"/>
      <c r="H136" s="111"/>
      <c r="I136" s="111"/>
      <c r="L136" s="73"/>
      <c r="M136" s="73"/>
    </row>
    <row r="137" spans="1:13" ht="15.75" x14ac:dyDescent="0.25">
      <c r="A137" s="111"/>
      <c r="B137" s="320"/>
      <c r="C137" s="259" t="s">
        <v>111</v>
      </c>
      <c r="D137" s="111">
        <v>200</v>
      </c>
      <c r="E137" s="111"/>
      <c r="F137" s="232" t="s">
        <v>331</v>
      </c>
      <c r="G137" s="232"/>
      <c r="H137" s="232" t="s">
        <v>332</v>
      </c>
      <c r="I137" s="232"/>
      <c r="K137" s="335">
        <f>SUM(K138:K143)</f>
        <v>33.06</v>
      </c>
      <c r="L137" s="73"/>
      <c r="M137" s="73"/>
    </row>
    <row r="138" spans="1:13" ht="15.75" x14ac:dyDescent="0.25">
      <c r="A138" s="111"/>
      <c r="B138" s="320"/>
      <c r="C138" s="259"/>
      <c r="D138" s="111"/>
      <c r="E138" s="265" t="s">
        <v>333</v>
      </c>
      <c r="F138" s="84">
        <v>100</v>
      </c>
      <c r="G138" s="84"/>
      <c r="H138" s="256">
        <f>F138</f>
        <v>100</v>
      </c>
      <c r="I138" s="256"/>
      <c r="J138" s="5">
        <v>216</v>
      </c>
      <c r="K138" s="46">
        <f t="shared" ref="K138:K143" si="5">F138*J138/1000</f>
        <v>21.6</v>
      </c>
      <c r="L138" s="73"/>
      <c r="M138" s="73"/>
    </row>
    <row r="139" spans="1:13" ht="15.75" x14ac:dyDescent="0.25">
      <c r="A139" s="111"/>
      <c r="B139" s="320"/>
      <c r="C139" s="259"/>
      <c r="D139" s="111"/>
      <c r="E139" s="97" t="s">
        <v>31</v>
      </c>
      <c r="F139" s="84">
        <v>80</v>
      </c>
      <c r="G139" s="84"/>
      <c r="H139" s="256">
        <f>F139</f>
        <v>80</v>
      </c>
      <c r="I139" s="256"/>
      <c r="J139" s="5">
        <v>69</v>
      </c>
      <c r="K139" s="46">
        <f t="shared" si="5"/>
        <v>5.52</v>
      </c>
      <c r="L139" s="73"/>
      <c r="M139" s="73"/>
    </row>
    <row r="140" spans="1:13" ht="15.75" x14ac:dyDescent="0.25">
      <c r="A140" s="111"/>
      <c r="B140" s="320"/>
      <c r="C140" s="259"/>
      <c r="D140" s="111"/>
      <c r="E140" s="97" t="s">
        <v>22</v>
      </c>
      <c r="F140" s="84">
        <v>3</v>
      </c>
      <c r="G140" s="84"/>
      <c r="H140" s="256">
        <f>F140</f>
        <v>3</v>
      </c>
      <c r="I140" s="256"/>
      <c r="J140" s="5">
        <v>990</v>
      </c>
      <c r="K140" s="46">
        <f t="shared" si="5"/>
        <v>2.97</v>
      </c>
      <c r="L140" s="73"/>
      <c r="M140" s="73"/>
    </row>
    <row r="141" spans="1:13" ht="15.75" x14ac:dyDescent="0.25">
      <c r="A141" s="111"/>
      <c r="B141" s="320"/>
      <c r="C141" s="259"/>
      <c r="D141" s="111"/>
      <c r="E141" s="97" t="s">
        <v>136</v>
      </c>
      <c r="F141" s="84">
        <v>45</v>
      </c>
      <c r="G141" s="84"/>
      <c r="H141" s="256">
        <f>F141</f>
        <v>45</v>
      </c>
      <c r="I141" s="256"/>
      <c r="K141" s="46">
        <f t="shared" si="5"/>
        <v>0</v>
      </c>
      <c r="L141" s="73"/>
      <c r="M141" s="73"/>
    </row>
    <row r="142" spans="1:13" ht="15.75" x14ac:dyDescent="0.25">
      <c r="A142" s="111"/>
      <c r="B142" s="320"/>
      <c r="C142" s="259"/>
      <c r="D142" s="111"/>
      <c r="E142" s="97" t="s">
        <v>22</v>
      </c>
      <c r="F142" s="18">
        <v>3</v>
      </c>
      <c r="G142" s="18"/>
      <c r="H142" s="256">
        <f>F142</f>
        <v>3</v>
      </c>
      <c r="I142" s="256"/>
      <c r="J142" s="5">
        <v>990</v>
      </c>
      <c r="K142" s="46">
        <f t="shared" si="5"/>
        <v>2.97</v>
      </c>
      <c r="L142" s="73"/>
      <c r="M142" s="73"/>
    </row>
    <row r="143" spans="1:13" ht="15.75" x14ac:dyDescent="0.25">
      <c r="A143" s="111"/>
      <c r="B143" s="320"/>
      <c r="C143" s="259"/>
      <c r="D143" s="111"/>
      <c r="E143" s="265"/>
      <c r="F143" s="256"/>
      <c r="G143" s="256"/>
      <c r="H143" s="256"/>
      <c r="I143" s="256"/>
      <c r="K143" s="46">
        <f t="shared" si="5"/>
        <v>0</v>
      </c>
      <c r="L143" s="73"/>
      <c r="M143" s="73"/>
    </row>
    <row r="144" spans="1:13" ht="15.75" x14ac:dyDescent="0.25">
      <c r="A144" s="111"/>
      <c r="B144" s="320"/>
      <c r="C144" s="259"/>
      <c r="D144" s="111"/>
      <c r="E144" s="76" t="s">
        <v>112</v>
      </c>
      <c r="F144" s="233" t="s">
        <v>35</v>
      </c>
      <c r="G144" s="233"/>
      <c r="H144" s="234">
        <v>200</v>
      </c>
      <c r="I144" s="234"/>
      <c r="L144" s="73"/>
      <c r="M144" s="73"/>
    </row>
    <row r="145" spans="1:13" ht="15.75" x14ac:dyDescent="0.25">
      <c r="A145" s="111"/>
      <c r="B145" s="320"/>
      <c r="C145" s="259"/>
      <c r="D145" s="111"/>
      <c r="E145" s="111"/>
      <c r="F145" s="232" t="s">
        <v>331</v>
      </c>
      <c r="G145" s="232"/>
      <c r="H145" s="232" t="s">
        <v>332</v>
      </c>
      <c r="I145" s="232"/>
      <c r="L145" s="73"/>
      <c r="M145" s="73"/>
    </row>
    <row r="146" spans="1:13" ht="15.75" x14ac:dyDescent="0.25">
      <c r="A146" s="111"/>
      <c r="B146" s="320"/>
      <c r="C146" s="259" t="s">
        <v>376</v>
      </c>
      <c r="D146" s="111">
        <v>150</v>
      </c>
      <c r="E146" s="265" t="s">
        <v>334</v>
      </c>
      <c r="F146" s="84">
        <v>150</v>
      </c>
      <c r="G146" s="84"/>
      <c r="H146" s="256">
        <v>150</v>
      </c>
      <c r="I146" s="256"/>
      <c r="J146" s="5">
        <v>70</v>
      </c>
      <c r="K146" s="335">
        <f>F146*J146/1000</f>
        <v>10.5</v>
      </c>
      <c r="L146" s="73"/>
      <c r="M146" s="73"/>
    </row>
    <row r="147" spans="1:13" ht="15.75" x14ac:dyDescent="0.25">
      <c r="A147" s="259"/>
      <c r="B147" s="307"/>
      <c r="C147" s="259"/>
      <c r="D147" s="111"/>
      <c r="E147" s="111"/>
      <c r="F147" s="111"/>
      <c r="G147" s="111"/>
      <c r="H147" s="111"/>
      <c r="I147" s="111"/>
      <c r="L147" s="73"/>
      <c r="M147" s="73"/>
    </row>
    <row r="148" spans="1:13" ht="15.75" x14ac:dyDescent="0.25">
      <c r="A148" s="111"/>
      <c r="B148" s="320"/>
      <c r="C148" s="259" t="s">
        <v>364</v>
      </c>
      <c r="D148" s="111">
        <v>40</v>
      </c>
      <c r="E148" s="111"/>
      <c r="F148" s="111"/>
      <c r="G148" s="111"/>
      <c r="H148" s="111"/>
      <c r="I148" s="111"/>
      <c r="J148" s="5">
        <v>65.5</v>
      </c>
      <c r="K148" s="335">
        <f>D148*J148/1000</f>
        <v>2.62</v>
      </c>
      <c r="L148" s="73"/>
      <c r="M148" s="73"/>
    </row>
    <row r="149" spans="1:13" ht="15.75" x14ac:dyDescent="0.25">
      <c r="A149" s="259"/>
      <c r="B149" s="307"/>
      <c r="C149" s="259"/>
      <c r="D149" s="111"/>
      <c r="E149" s="111"/>
      <c r="F149" s="111"/>
      <c r="G149" s="111"/>
      <c r="H149" s="111"/>
      <c r="I149" s="111"/>
      <c r="L149" s="73"/>
      <c r="M149" s="73"/>
    </row>
    <row r="150" spans="1:13" ht="15.75" x14ac:dyDescent="0.25">
      <c r="A150" s="111"/>
      <c r="B150" s="320"/>
      <c r="C150" s="259" t="s">
        <v>89</v>
      </c>
      <c r="D150" s="111">
        <v>200</v>
      </c>
      <c r="E150" s="111"/>
      <c r="F150" s="232" t="s">
        <v>331</v>
      </c>
      <c r="G150" s="232"/>
      <c r="H150" s="232" t="s">
        <v>332</v>
      </c>
      <c r="I150" s="232"/>
      <c r="K150" s="335">
        <f>K151+K152</f>
        <v>1.5899999999999999</v>
      </c>
      <c r="L150" s="73"/>
      <c r="M150" s="73"/>
    </row>
    <row r="151" spans="1:13" s="14" customFormat="1" ht="15.75" x14ac:dyDescent="0.25">
      <c r="A151" s="259"/>
      <c r="B151" s="307"/>
      <c r="C151" s="259"/>
      <c r="D151" s="111"/>
      <c r="E151" s="265" t="s">
        <v>275</v>
      </c>
      <c r="F151" s="84">
        <v>0.6</v>
      </c>
      <c r="G151" s="84"/>
      <c r="H151" s="256">
        <v>0.6</v>
      </c>
      <c r="I151" s="256"/>
      <c r="J151" s="5">
        <v>650</v>
      </c>
      <c r="K151" s="46">
        <f>J151*F151/1000</f>
        <v>0.39</v>
      </c>
      <c r="L151" s="73"/>
      <c r="M151" s="73"/>
    </row>
    <row r="152" spans="1:13" ht="15.75" x14ac:dyDescent="0.25">
      <c r="A152" s="259"/>
      <c r="B152" s="307"/>
      <c r="C152" s="259"/>
      <c r="D152" s="111"/>
      <c r="E152" s="97" t="s">
        <v>162</v>
      </c>
      <c r="F152" s="84">
        <v>15</v>
      </c>
      <c r="G152" s="84"/>
      <c r="H152" s="256">
        <v>15</v>
      </c>
      <c r="I152" s="256"/>
      <c r="J152" s="5">
        <v>80</v>
      </c>
      <c r="K152" s="46">
        <f>J152*F152/1000</f>
        <v>1.2</v>
      </c>
      <c r="L152" s="73"/>
      <c r="M152" s="73"/>
    </row>
    <row r="153" spans="1:13" ht="15.75" x14ac:dyDescent="0.25">
      <c r="A153" s="259"/>
      <c r="B153" s="307"/>
      <c r="C153" s="259"/>
      <c r="D153" s="111"/>
      <c r="E153" s="76" t="s">
        <v>112</v>
      </c>
      <c r="F153" s="233" t="s">
        <v>35</v>
      </c>
      <c r="G153" s="233"/>
      <c r="H153" s="234">
        <v>200</v>
      </c>
      <c r="I153" s="234"/>
      <c r="L153" s="73"/>
      <c r="M153" s="73"/>
    </row>
    <row r="154" spans="1:13" ht="15.75" x14ac:dyDescent="0.25">
      <c r="A154" s="259"/>
      <c r="B154" s="307"/>
      <c r="C154" s="259"/>
      <c r="D154" s="111"/>
      <c r="E154" s="111"/>
      <c r="F154" s="111"/>
      <c r="G154" s="111"/>
      <c r="H154" s="111"/>
      <c r="I154" s="111"/>
      <c r="L154" s="73"/>
      <c r="M154" s="73"/>
    </row>
    <row r="155" spans="1:13" ht="15.75" x14ac:dyDescent="0.25">
      <c r="A155" s="259"/>
      <c r="B155" s="307"/>
      <c r="C155" s="259"/>
      <c r="D155" s="111"/>
      <c r="E155" s="111"/>
      <c r="F155" s="111"/>
      <c r="G155" s="111"/>
      <c r="H155" s="111"/>
      <c r="I155" s="111"/>
      <c r="L155" s="73"/>
      <c r="M155" s="73"/>
    </row>
    <row r="156" spans="1:13" ht="15.75" x14ac:dyDescent="0.25">
      <c r="A156" s="340" t="s">
        <v>377</v>
      </c>
      <c r="B156" s="261" t="s">
        <v>339</v>
      </c>
      <c r="C156" s="340"/>
      <c r="D156" s="341"/>
      <c r="E156" s="341"/>
      <c r="F156" s="341"/>
      <c r="G156" s="341"/>
      <c r="H156" s="341"/>
      <c r="I156" s="341"/>
      <c r="J156" s="13"/>
      <c r="K156" s="260"/>
      <c r="L156" s="73"/>
      <c r="M156" s="73"/>
    </row>
    <row r="157" spans="1:13" ht="15.75" x14ac:dyDescent="0.25">
      <c r="A157" s="111" t="s">
        <v>341</v>
      </c>
      <c r="B157" s="323">
        <f>K157+K159+K161+K169+K176</f>
        <v>77.27</v>
      </c>
      <c r="C157" s="259" t="s">
        <v>378</v>
      </c>
      <c r="D157" s="111">
        <v>150</v>
      </c>
      <c r="E157" s="265" t="s">
        <v>379</v>
      </c>
      <c r="F157" s="84">
        <v>150</v>
      </c>
      <c r="G157" s="84"/>
      <c r="H157" s="256">
        <v>150</v>
      </c>
      <c r="I157" s="256"/>
      <c r="J157" s="5">
        <v>200</v>
      </c>
      <c r="K157" s="336">
        <f>F157*J157/1000</f>
        <v>30</v>
      </c>
      <c r="L157" s="73"/>
      <c r="M157" s="73">
        <f>K157+K159+K161+K169+K176</f>
        <v>77.27</v>
      </c>
    </row>
    <row r="158" spans="1:13" ht="15.75" x14ac:dyDescent="0.25">
      <c r="A158" s="259"/>
      <c r="B158" s="307">
        <f>D157+D159+D161+D169+D176</f>
        <v>610</v>
      </c>
      <c r="C158" s="259"/>
      <c r="D158" s="111"/>
      <c r="E158" s="111"/>
      <c r="F158" s="111"/>
      <c r="G158" s="111"/>
      <c r="H158" s="111"/>
      <c r="I158" s="111"/>
      <c r="L158" s="73"/>
      <c r="M158" s="73"/>
    </row>
    <row r="159" spans="1:13" ht="15.75" x14ac:dyDescent="0.25">
      <c r="A159" s="111"/>
      <c r="B159" s="307"/>
      <c r="C159" s="259" t="s">
        <v>380</v>
      </c>
      <c r="D159" s="111">
        <v>20</v>
      </c>
      <c r="E159" s="265" t="s">
        <v>381</v>
      </c>
      <c r="F159" s="84">
        <v>21</v>
      </c>
      <c r="G159" s="84"/>
      <c r="H159" s="256">
        <v>20</v>
      </c>
      <c r="I159" s="256"/>
      <c r="J159" s="5">
        <v>550</v>
      </c>
      <c r="K159" s="336">
        <f>F159*J159/1000</f>
        <v>11.55</v>
      </c>
      <c r="L159" s="73"/>
      <c r="M159" s="73"/>
    </row>
    <row r="160" spans="1:13" s="14" customFormat="1" ht="15.75" x14ac:dyDescent="0.25">
      <c r="A160" s="259"/>
      <c r="B160" s="307"/>
      <c r="C160" s="259"/>
      <c r="D160" s="111"/>
      <c r="E160" s="111"/>
      <c r="F160" s="111"/>
      <c r="G160" s="111"/>
      <c r="H160" s="111"/>
      <c r="I160" s="111"/>
      <c r="J160" s="5"/>
      <c r="K160" s="46"/>
      <c r="L160" s="73"/>
      <c r="M160" s="73"/>
    </row>
    <row r="161" spans="1:13" ht="15.75" x14ac:dyDescent="0.25">
      <c r="A161" s="111"/>
      <c r="B161" s="307"/>
      <c r="C161" s="259" t="s">
        <v>382</v>
      </c>
      <c r="D161" s="111">
        <v>200</v>
      </c>
      <c r="E161" s="111"/>
      <c r="F161" s="98" t="s">
        <v>331</v>
      </c>
      <c r="G161" s="98"/>
      <c r="H161" s="232" t="s">
        <v>332</v>
      </c>
      <c r="I161" s="232"/>
      <c r="K161" s="336">
        <f>SUM(K162:K166)</f>
        <v>23.240000000000002</v>
      </c>
      <c r="L161" s="73"/>
      <c r="M161" s="73"/>
    </row>
    <row r="162" spans="1:13" ht="15.75" x14ac:dyDescent="0.25">
      <c r="A162" s="111"/>
      <c r="B162" s="307"/>
      <c r="C162" s="259"/>
      <c r="D162" s="111"/>
      <c r="E162" s="265" t="s">
        <v>188</v>
      </c>
      <c r="F162" s="84">
        <f>50*H167/200</f>
        <v>50</v>
      </c>
      <c r="G162" s="84"/>
      <c r="H162" s="256">
        <f>F162</f>
        <v>50</v>
      </c>
      <c r="I162" s="256"/>
      <c r="J162" s="5">
        <v>80</v>
      </c>
      <c r="K162" s="46">
        <f>F162*J162/1000</f>
        <v>4</v>
      </c>
      <c r="L162" s="73"/>
      <c r="M162" s="73"/>
    </row>
    <row r="163" spans="1:13" ht="15.75" x14ac:dyDescent="0.25">
      <c r="A163" s="111"/>
      <c r="B163" s="307"/>
      <c r="C163" s="259"/>
      <c r="D163" s="111"/>
      <c r="E163" s="97" t="s">
        <v>31</v>
      </c>
      <c r="F163" s="84">
        <f>200*H167/200</f>
        <v>200</v>
      </c>
      <c r="G163" s="84"/>
      <c r="H163" s="256">
        <f>F163</f>
        <v>200</v>
      </c>
      <c r="I163" s="256"/>
      <c r="J163" s="5">
        <v>69</v>
      </c>
      <c r="K163" s="46">
        <f>F163*J163/1000</f>
        <v>13.8</v>
      </c>
      <c r="L163" s="73"/>
      <c r="M163" s="73"/>
    </row>
    <row r="164" spans="1:13" ht="15.75" x14ac:dyDescent="0.25">
      <c r="A164" s="111"/>
      <c r="B164" s="307"/>
      <c r="C164" s="259"/>
      <c r="D164" s="111"/>
      <c r="E164" s="97" t="s">
        <v>162</v>
      </c>
      <c r="F164" s="84">
        <f>6*H167/200</f>
        <v>6</v>
      </c>
      <c r="G164" s="84"/>
      <c r="H164" s="256">
        <f>F164</f>
        <v>6</v>
      </c>
      <c r="I164" s="256"/>
      <c r="J164" s="5">
        <v>80</v>
      </c>
      <c r="K164" s="46">
        <f>F164*J164/1000</f>
        <v>0.48</v>
      </c>
      <c r="L164" s="73"/>
      <c r="M164" s="73"/>
    </row>
    <row r="165" spans="1:13" ht="15.75" x14ac:dyDescent="0.25">
      <c r="A165" s="111"/>
      <c r="B165" s="307"/>
      <c r="C165" s="259"/>
      <c r="D165" s="111"/>
      <c r="E165" s="97" t="s">
        <v>22</v>
      </c>
      <c r="F165" s="84">
        <f>5*H167/200</f>
        <v>5</v>
      </c>
      <c r="G165" s="84"/>
      <c r="H165" s="256">
        <f>F165</f>
        <v>5</v>
      </c>
      <c r="I165" s="256"/>
      <c r="J165" s="5">
        <v>990</v>
      </c>
      <c r="K165" s="46">
        <f>F165*J165/1000</f>
        <v>4.95</v>
      </c>
      <c r="L165" s="73"/>
      <c r="M165" s="73"/>
    </row>
    <row r="166" spans="1:13" ht="15.75" x14ac:dyDescent="0.25">
      <c r="A166" s="111"/>
      <c r="B166" s="307"/>
      <c r="C166" s="259"/>
      <c r="D166" s="111"/>
      <c r="E166" s="265" t="s">
        <v>142</v>
      </c>
      <c r="F166" s="84">
        <f>0.5*H167/200</f>
        <v>0.5</v>
      </c>
      <c r="G166" s="84"/>
      <c r="H166" s="256">
        <f>F166</f>
        <v>0.5</v>
      </c>
      <c r="I166" s="256"/>
      <c r="J166" s="5">
        <v>20</v>
      </c>
      <c r="K166" s="46">
        <f>F166*J166/1000</f>
        <v>0.01</v>
      </c>
      <c r="L166" s="73"/>
      <c r="M166" s="73"/>
    </row>
    <row r="167" spans="1:13" ht="15.75" x14ac:dyDescent="0.25">
      <c r="A167" s="111"/>
      <c r="B167" s="307"/>
      <c r="C167" s="259"/>
      <c r="D167" s="111"/>
      <c r="E167" s="76" t="s">
        <v>112</v>
      </c>
      <c r="F167" s="12" t="s">
        <v>35</v>
      </c>
      <c r="G167" s="12"/>
      <c r="H167" s="234">
        <v>200</v>
      </c>
      <c r="I167" s="234"/>
      <c r="J167" s="5" t="s">
        <v>383</v>
      </c>
      <c r="L167" s="73"/>
      <c r="M167" s="73"/>
    </row>
    <row r="168" spans="1:13" ht="15.75" x14ac:dyDescent="0.25">
      <c r="A168" s="259"/>
      <c r="B168" s="307"/>
      <c r="C168" s="259"/>
      <c r="D168" s="111"/>
      <c r="E168" s="111"/>
      <c r="F168" s="111"/>
      <c r="G168" s="111"/>
      <c r="H168" s="111"/>
      <c r="I168" s="111"/>
      <c r="L168" s="73"/>
      <c r="M168" s="73"/>
    </row>
    <row r="169" spans="1:13" ht="15.75" x14ac:dyDescent="0.25">
      <c r="A169" s="111"/>
      <c r="B169" s="307"/>
      <c r="C169" s="259" t="s">
        <v>354</v>
      </c>
      <c r="D169" s="111">
        <v>200</v>
      </c>
      <c r="E169" s="111"/>
      <c r="F169" s="98" t="s">
        <v>331</v>
      </c>
      <c r="G169" s="98"/>
      <c r="H169" s="232" t="s">
        <v>332</v>
      </c>
      <c r="I169" s="232"/>
      <c r="K169" s="336">
        <f>SUM(K170:K173)</f>
        <v>9.86</v>
      </c>
      <c r="L169" s="73"/>
      <c r="M169" s="73"/>
    </row>
    <row r="170" spans="1:13" ht="15.75" x14ac:dyDescent="0.25">
      <c r="A170" s="111"/>
      <c r="B170" s="307"/>
      <c r="C170" s="259"/>
      <c r="D170" s="111"/>
      <c r="E170" s="265" t="s">
        <v>355</v>
      </c>
      <c r="F170" s="84">
        <v>4</v>
      </c>
      <c r="G170" s="84"/>
      <c r="H170" s="256">
        <v>4</v>
      </c>
      <c r="I170" s="256"/>
      <c r="J170" s="5">
        <v>440</v>
      </c>
      <c r="K170" s="46">
        <f>J170*F170/1000</f>
        <v>1.76</v>
      </c>
      <c r="L170" s="73"/>
      <c r="M170" s="73"/>
    </row>
    <row r="171" spans="1:13" ht="15.75" x14ac:dyDescent="0.25">
      <c r="A171" s="111"/>
      <c r="B171" s="307"/>
      <c r="C171" s="259"/>
      <c r="D171" s="111"/>
      <c r="E171" s="97" t="s">
        <v>162</v>
      </c>
      <c r="F171" s="84">
        <v>15</v>
      </c>
      <c r="G171" s="84"/>
      <c r="H171" s="256">
        <v>15</v>
      </c>
      <c r="I171" s="256"/>
      <c r="J171" s="5">
        <v>80</v>
      </c>
      <c r="K171" s="46">
        <f>J171*F171/1000</f>
        <v>1.2</v>
      </c>
      <c r="L171" s="73"/>
      <c r="M171" s="73"/>
    </row>
    <row r="172" spans="1:13" ht="15.75" x14ac:dyDescent="0.25">
      <c r="A172" s="111"/>
      <c r="B172" s="307"/>
      <c r="C172" s="259"/>
      <c r="D172" s="111"/>
      <c r="E172" s="97" t="s">
        <v>356</v>
      </c>
      <c r="F172" s="84">
        <v>100</v>
      </c>
      <c r="G172" s="84"/>
      <c r="H172" s="256">
        <v>100</v>
      </c>
      <c r="I172" s="256"/>
      <c r="J172" s="5">
        <v>69</v>
      </c>
      <c r="K172" s="46">
        <f>J172*F172/1000</f>
        <v>6.9</v>
      </c>
      <c r="L172" s="73"/>
      <c r="M172" s="73"/>
    </row>
    <row r="173" spans="1:13" ht="15.75" x14ac:dyDescent="0.25">
      <c r="A173" s="259"/>
      <c r="B173" s="307"/>
      <c r="C173" s="259"/>
      <c r="D173" s="111"/>
      <c r="E173" s="97" t="s">
        <v>32</v>
      </c>
      <c r="F173" s="84">
        <v>81</v>
      </c>
      <c r="G173" s="84"/>
      <c r="H173" s="256">
        <v>81</v>
      </c>
      <c r="I173" s="256"/>
      <c r="J173" s="5">
        <v>0</v>
      </c>
      <c r="K173" s="46">
        <f>J173*F173/1000</f>
        <v>0</v>
      </c>
      <c r="L173" s="73"/>
      <c r="M173" s="73"/>
    </row>
    <row r="174" spans="1:13" ht="15.75" x14ac:dyDescent="0.25">
      <c r="A174" s="259"/>
      <c r="B174" s="307"/>
      <c r="C174" s="259"/>
      <c r="D174" s="111"/>
      <c r="E174" s="76" t="s">
        <v>112</v>
      </c>
      <c r="F174" s="12" t="s">
        <v>35</v>
      </c>
      <c r="G174" s="12"/>
      <c r="H174" s="234">
        <v>200</v>
      </c>
      <c r="I174" s="234"/>
      <c r="L174" s="73"/>
      <c r="M174" s="73"/>
    </row>
    <row r="175" spans="1:13" ht="15.75" x14ac:dyDescent="0.25">
      <c r="A175" s="259"/>
      <c r="B175" s="307"/>
      <c r="C175" s="259"/>
      <c r="D175" s="111"/>
      <c r="E175" s="111"/>
      <c r="F175" s="111"/>
      <c r="G175" s="111"/>
      <c r="H175" s="111"/>
      <c r="I175" s="111"/>
      <c r="L175" s="73"/>
      <c r="M175" s="73"/>
    </row>
    <row r="176" spans="1:13" ht="15.75" x14ac:dyDescent="0.25">
      <c r="A176" s="259"/>
      <c r="B176" s="307"/>
      <c r="C176" s="259" t="s">
        <v>364</v>
      </c>
      <c r="D176" s="111">
        <v>40</v>
      </c>
      <c r="E176" s="111"/>
      <c r="F176" s="111"/>
      <c r="G176" s="111"/>
      <c r="H176" s="111"/>
      <c r="I176" s="111"/>
      <c r="J176" s="5">
        <v>65.5</v>
      </c>
      <c r="K176" s="336">
        <f>D176*J176/1000</f>
        <v>2.62</v>
      </c>
      <c r="L176" s="73"/>
      <c r="M176" s="73"/>
    </row>
    <row r="177" spans="1:13" ht="16.5" thickBot="1" x14ac:dyDescent="0.3">
      <c r="A177" s="259"/>
      <c r="B177" s="307"/>
      <c r="C177" s="259"/>
      <c r="D177" s="111"/>
      <c r="E177" s="111"/>
      <c r="F177" s="111"/>
      <c r="G177" s="111"/>
      <c r="H177" s="111"/>
      <c r="I177" s="111"/>
      <c r="L177" s="247"/>
      <c r="M177" s="247"/>
    </row>
    <row r="178" spans="1:13" ht="15.75" x14ac:dyDescent="0.25">
      <c r="A178" s="340" t="s">
        <v>398</v>
      </c>
      <c r="B178" s="261" t="s">
        <v>339</v>
      </c>
      <c r="C178" s="340"/>
      <c r="D178" s="341"/>
      <c r="E178" s="341"/>
      <c r="F178" s="341"/>
      <c r="G178" s="341"/>
      <c r="H178" s="341"/>
      <c r="I178" s="341"/>
      <c r="J178" s="13"/>
      <c r="K178" s="260"/>
      <c r="L178" s="73"/>
      <c r="M178" s="73"/>
    </row>
    <row r="179" spans="1:13" ht="15.75" x14ac:dyDescent="0.25">
      <c r="A179" s="259" t="s">
        <v>346</v>
      </c>
      <c r="B179" s="294">
        <f>K179+K186+K200+K208+K213</f>
        <v>60.201814999999989</v>
      </c>
      <c r="C179" s="274" t="s">
        <v>384</v>
      </c>
      <c r="D179" s="274">
        <v>40</v>
      </c>
      <c r="E179" s="295"/>
      <c r="F179" s="274"/>
      <c r="G179" s="274"/>
      <c r="H179" s="274"/>
      <c r="I179" s="274"/>
      <c r="K179" s="330">
        <f>K180+K181+K182+K183</f>
        <v>2.3736799999999998</v>
      </c>
      <c r="L179" s="73"/>
      <c r="M179" s="73">
        <f>K179+K186+K200+K208+K213</f>
        <v>60.201814999999989</v>
      </c>
    </row>
    <row r="180" spans="1:13" ht="15.75" x14ac:dyDescent="0.25">
      <c r="A180" s="259"/>
      <c r="B180" s="307">
        <f>D179+D186+D200+D208+D213</f>
        <v>520</v>
      </c>
      <c r="C180" s="287"/>
      <c r="D180" s="274"/>
      <c r="E180" s="295" t="s">
        <v>385</v>
      </c>
      <c r="F180" s="296">
        <v>43</v>
      </c>
      <c r="G180" s="296"/>
      <c r="H180" s="274"/>
      <c r="I180" s="274"/>
      <c r="J180" s="5">
        <v>35</v>
      </c>
      <c r="K180" s="46">
        <f>J180*F180/1000</f>
        <v>1.5049999999999999</v>
      </c>
      <c r="L180" s="73"/>
      <c r="M180" s="73"/>
    </row>
    <row r="181" spans="1:13" ht="15.75" x14ac:dyDescent="0.25">
      <c r="A181" s="259"/>
      <c r="B181" s="279"/>
      <c r="C181" s="287"/>
      <c r="D181" s="274"/>
      <c r="E181" s="295" t="s">
        <v>386</v>
      </c>
      <c r="F181" s="296">
        <v>2</v>
      </c>
      <c r="G181" s="296"/>
      <c r="H181" s="274"/>
      <c r="I181" s="274"/>
      <c r="J181" s="5">
        <v>80</v>
      </c>
      <c r="K181" s="46">
        <f>J181*F181/1000</f>
        <v>0.16</v>
      </c>
      <c r="L181" s="73"/>
      <c r="M181" s="73"/>
    </row>
    <row r="182" spans="1:13" ht="15.75" x14ac:dyDescent="0.25">
      <c r="A182" s="259"/>
      <c r="B182" s="307"/>
      <c r="C182" s="287"/>
      <c r="D182" s="274"/>
      <c r="E182" s="295" t="s">
        <v>387</v>
      </c>
      <c r="F182" s="296">
        <v>4</v>
      </c>
      <c r="G182" s="296"/>
      <c r="H182" s="274"/>
      <c r="I182" s="274"/>
      <c r="J182" s="5">
        <v>177.17</v>
      </c>
      <c r="K182" s="46">
        <f>J182*F182/1000</f>
        <v>0.70867999999999998</v>
      </c>
      <c r="L182" s="73"/>
      <c r="M182" s="73"/>
    </row>
    <row r="183" spans="1:13" ht="15.75" x14ac:dyDescent="0.25">
      <c r="A183" s="259"/>
      <c r="B183" s="307"/>
      <c r="C183" s="287"/>
      <c r="D183" s="274"/>
      <c r="E183" s="295"/>
      <c r="F183" s="297"/>
      <c r="G183" s="297"/>
      <c r="H183" s="274"/>
      <c r="I183" s="274"/>
      <c r="K183" s="46">
        <f>J183*F183/1000</f>
        <v>0</v>
      </c>
      <c r="L183" s="73"/>
      <c r="M183" s="73"/>
    </row>
    <row r="184" spans="1:13" ht="15.75" x14ac:dyDescent="0.25">
      <c r="A184" s="259"/>
      <c r="B184" s="307"/>
      <c r="C184" s="287"/>
      <c r="D184" s="274"/>
      <c r="E184" s="274"/>
      <c r="F184" s="274"/>
      <c r="G184" s="274"/>
      <c r="H184" s="274"/>
      <c r="I184" s="274"/>
      <c r="L184" s="73"/>
      <c r="M184" s="73"/>
    </row>
    <row r="185" spans="1:13" ht="15.75" x14ac:dyDescent="0.25">
      <c r="A185" s="259"/>
      <c r="B185" s="307"/>
      <c r="C185" s="259"/>
      <c r="D185" s="111"/>
      <c r="E185" s="111"/>
      <c r="F185" s="111"/>
      <c r="G185" s="111"/>
      <c r="H185" s="111"/>
      <c r="I185" s="111"/>
      <c r="L185" s="73"/>
      <c r="M185" s="73"/>
    </row>
    <row r="186" spans="1:13" x14ac:dyDescent="0.25">
      <c r="A186" s="111"/>
      <c r="B186" s="320"/>
      <c r="C186" s="280" t="s">
        <v>388</v>
      </c>
      <c r="D186" s="111">
        <v>90</v>
      </c>
      <c r="E186" s="111"/>
      <c r="F186" s="232" t="s">
        <v>331</v>
      </c>
      <c r="G186" s="232"/>
      <c r="H186" s="232" t="s">
        <v>332</v>
      </c>
      <c r="I186" s="232"/>
      <c r="K186" s="337">
        <f>SUM(K187:K197)</f>
        <v>46.728134999999995</v>
      </c>
      <c r="L186" s="73"/>
      <c r="M186" s="73"/>
    </row>
    <row r="187" spans="1:13" ht="25.5" x14ac:dyDescent="0.25">
      <c r="A187" s="111"/>
      <c r="B187" s="320"/>
      <c r="C187" s="259"/>
      <c r="D187" s="111"/>
      <c r="E187" s="7" t="s">
        <v>349</v>
      </c>
      <c r="F187" s="7">
        <v>65.7</v>
      </c>
      <c r="G187" s="7"/>
      <c r="H187" s="217">
        <v>46.8</v>
      </c>
      <c r="I187" s="217"/>
      <c r="J187" s="5">
        <v>614</v>
      </c>
      <c r="K187" s="46">
        <f>F187*J187/1000</f>
        <v>40.339800000000004</v>
      </c>
      <c r="L187" s="73"/>
      <c r="M187" s="73"/>
    </row>
    <row r="188" spans="1:13" ht="15.75" x14ac:dyDescent="0.25">
      <c r="A188" s="111"/>
      <c r="B188" s="320"/>
      <c r="C188" s="259"/>
      <c r="D188" s="111"/>
      <c r="E188" s="7" t="s">
        <v>4</v>
      </c>
      <c r="F188" s="7">
        <v>9.4499999999999993</v>
      </c>
      <c r="G188" s="7"/>
      <c r="H188" s="217">
        <v>9.4499999999999993</v>
      </c>
      <c r="I188" s="217"/>
      <c r="J188" s="5">
        <v>55.1</v>
      </c>
      <c r="K188" s="46">
        <f>F188*J188/1000</f>
        <v>0.52069499999999991</v>
      </c>
      <c r="L188" s="73"/>
      <c r="M188" s="73"/>
    </row>
    <row r="189" spans="1:13" ht="15.75" x14ac:dyDescent="0.25">
      <c r="A189" s="111"/>
      <c r="B189" s="320"/>
      <c r="C189" s="259"/>
      <c r="D189" s="111"/>
      <c r="E189" s="7" t="s">
        <v>32</v>
      </c>
      <c r="F189" s="7">
        <v>16.38</v>
      </c>
      <c r="G189" s="7"/>
      <c r="H189" s="217">
        <v>16.38</v>
      </c>
      <c r="I189" s="217"/>
      <c r="J189" s="5">
        <v>0</v>
      </c>
      <c r="K189" s="46">
        <f>F189*J189/1000</f>
        <v>0</v>
      </c>
      <c r="L189" s="73"/>
      <c r="M189" s="73"/>
    </row>
    <row r="190" spans="1:13" ht="15.75" x14ac:dyDescent="0.25">
      <c r="A190" s="111"/>
      <c r="B190" s="320"/>
      <c r="C190" s="259"/>
      <c r="D190" s="111"/>
      <c r="E190" s="7" t="s">
        <v>22</v>
      </c>
      <c r="F190" s="7">
        <v>1.8</v>
      </c>
      <c r="G190" s="7"/>
      <c r="H190" s="217">
        <v>1.8</v>
      </c>
      <c r="I190" s="217"/>
      <c r="J190" s="5">
        <v>990</v>
      </c>
      <c r="K190" s="46">
        <f>F190*J190/1000</f>
        <v>1.782</v>
      </c>
      <c r="L190" s="73"/>
      <c r="M190" s="73"/>
    </row>
    <row r="191" spans="1:13" ht="25.5" x14ac:dyDescent="0.25">
      <c r="A191" s="111"/>
      <c r="B191" s="320"/>
      <c r="C191" s="259"/>
      <c r="D191" s="111"/>
      <c r="E191" s="7" t="s">
        <v>119</v>
      </c>
      <c r="F191" s="7" t="s">
        <v>35</v>
      </c>
      <c r="G191" s="7"/>
      <c r="H191" s="217">
        <v>73.8</v>
      </c>
      <c r="I191" s="217"/>
      <c r="L191" s="73"/>
      <c r="M191" s="73"/>
    </row>
    <row r="192" spans="1:13" ht="25.5" x14ac:dyDescent="0.25">
      <c r="A192" s="111"/>
      <c r="B192" s="320"/>
      <c r="C192" s="259"/>
      <c r="D192" s="111"/>
      <c r="E192" s="7" t="s">
        <v>389</v>
      </c>
      <c r="F192" s="7" t="s">
        <v>35</v>
      </c>
      <c r="G192" s="7"/>
      <c r="H192" s="217">
        <v>27</v>
      </c>
      <c r="I192" s="217"/>
      <c r="L192" s="73"/>
      <c r="M192" s="73"/>
    </row>
    <row r="193" spans="1:13" ht="15.75" x14ac:dyDescent="0.25">
      <c r="A193" s="111"/>
      <c r="B193" s="320"/>
      <c r="C193" s="259"/>
      <c r="D193" s="111"/>
      <c r="E193" s="7" t="s">
        <v>31</v>
      </c>
      <c r="F193" s="7">
        <v>27</v>
      </c>
      <c r="G193" s="7"/>
      <c r="H193" s="217">
        <v>27</v>
      </c>
      <c r="I193" s="217"/>
      <c r="J193" s="5">
        <v>69</v>
      </c>
      <c r="K193" s="46">
        <f>F193*J193/1000</f>
        <v>1.863</v>
      </c>
      <c r="L193" s="73"/>
      <c r="M193" s="73"/>
    </row>
    <row r="194" spans="1:13" ht="15.75" x14ac:dyDescent="0.25">
      <c r="A194" s="111"/>
      <c r="B194" s="320"/>
      <c r="C194" s="259"/>
      <c r="D194" s="111"/>
      <c r="E194" s="7" t="s">
        <v>203</v>
      </c>
      <c r="F194" s="7">
        <v>2.16</v>
      </c>
      <c r="G194" s="7"/>
      <c r="H194" s="217">
        <v>2.16</v>
      </c>
      <c r="I194" s="217"/>
      <c r="J194" s="5">
        <v>39</v>
      </c>
      <c r="K194" s="46">
        <f>F194*J194/1000</f>
        <v>8.4240000000000009E-2</v>
      </c>
      <c r="L194" s="73"/>
      <c r="M194" s="73"/>
    </row>
    <row r="195" spans="1:13" ht="15.75" x14ac:dyDescent="0.25">
      <c r="A195" s="111"/>
      <c r="B195" s="320"/>
      <c r="C195" s="259"/>
      <c r="D195" s="111"/>
      <c r="E195" s="7" t="s">
        <v>22</v>
      </c>
      <c r="F195" s="7">
        <v>2.16</v>
      </c>
      <c r="G195" s="7"/>
      <c r="H195" s="217">
        <v>2.16</v>
      </c>
      <c r="I195" s="217"/>
      <c r="J195" s="5">
        <v>990</v>
      </c>
      <c r="K195" s="46">
        <f>F195*J195/1000</f>
        <v>2.1384000000000003</v>
      </c>
      <c r="L195" s="73"/>
      <c r="M195" s="73"/>
    </row>
    <row r="196" spans="1:13" ht="15.75" x14ac:dyDescent="0.25">
      <c r="A196" s="111"/>
      <c r="B196" s="320"/>
      <c r="C196" s="259"/>
      <c r="D196" s="111"/>
      <c r="E196" s="56" t="s">
        <v>23</v>
      </c>
      <c r="F196" s="256">
        <v>90</v>
      </c>
      <c r="G196" s="256"/>
      <c r="H196" s="256"/>
      <c r="I196" s="256"/>
      <c r="K196" s="46">
        <f>F196*J196/1000</f>
        <v>0</v>
      </c>
      <c r="L196" s="73"/>
      <c r="M196" s="73"/>
    </row>
    <row r="197" spans="1:13" ht="15.75" x14ac:dyDescent="0.25">
      <c r="A197" s="111"/>
      <c r="B197" s="320"/>
      <c r="C197" s="259"/>
      <c r="D197" s="111"/>
      <c r="E197" s="265"/>
      <c r="F197" s="84"/>
      <c r="G197" s="84"/>
      <c r="H197" s="84"/>
      <c r="I197" s="84"/>
      <c r="K197" s="46">
        <f>F197*J197/1000</f>
        <v>0</v>
      </c>
      <c r="L197" s="73"/>
      <c r="M197" s="73"/>
    </row>
    <row r="198" spans="1:13" ht="15.75" x14ac:dyDescent="0.25">
      <c r="A198" s="111"/>
      <c r="B198" s="320"/>
      <c r="C198" s="259"/>
      <c r="D198" s="111"/>
      <c r="E198" s="76"/>
      <c r="F198" s="84"/>
      <c r="G198" s="84"/>
      <c r="H198" s="12"/>
      <c r="I198" s="12"/>
      <c r="L198" s="73"/>
      <c r="M198" s="73"/>
    </row>
    <row r="199" spans="1:13" ht="15.75" x14ac:dyDescent="0.25">
      <c r="A199" s="259"/>
      <c r="B199" s="307"/>
      <c r="C199" s="259"/>
      <c r="D199" s="111"/>
      <c r="E199" s="111"/>
      <c r="F199" s="111"/>
      <c r="G199" s="111"/>
      <c r="H199" s="111"/>
      <c r="I199" s="111"/>
      <c r="L199" s="73"/>
      <c r="M199" s="73"/>
    </row>
    <row r="200" spans="1:13" ht="15.75" x14ac:dyDescent="0.25">
      <c r="A200" s="111"/>
      <c r="B200" s="320"/>
      <c r="C200" s="259" t="s">
        <v>390</v>
      </c>
      <c r="D200" s="111">
        <v>150</v>
      </c>
      <c r="E200" s="111"/>
      <c r="F200" s="232" t="s">
        <v>331</v>
      </c>
      <c r="G200" s="232"/>
      <c r="H200" s="232" t="s">
        <v>332</v>
      </c>
      <c r="I200" s="232"/>
      <c r="K200" s="337">
        <f>SUM(K201:K205)</f>
        <v>7.306</v>
      </c>
      <c r="L200" s="73"/>
      <c r="M200" s="73"/>
    </row>
    <row r="201" spans="1:13" ht="15.75" x14ac:dyDescent="0.25">
      <c r="A201" s="111"/>
      <c r="B201" s="320"/>
      <c r="C201" s="259"/>
      <c r="D201" s="111"/>
      <c r="E201" s="265" t="s">
        <v>29</v>
      </c>
      <c r="F201" s="84">
        <v>16</v>
      </c>
      <c r="G201" s="84"/>
      <c r="H201" s="256">
        <v>16</v>
      </c>
      <c r="I201" s="256"/>
      <c r="J201" s="5">
        <v>94</v>
      </c>
      <c r="K201" s="46">
        <f>F201*J201/1000</f>
        <v>1.504</v>
      </c>
      <c r="L201" s="73"/>
      <c r="M201" s="73"/>
    </row>
    <row r="202" spans="1:13" ht="15.75" x14ac:dyDescent="0.25">
      <c r="A202" s="259"/>
      <c r="B202" s="307"/>
      <c r="C202" s="259"/>
      <c r="D202" s="111"/>
      <c r="E202" s="97" t="s">
        <v>32</v>
      </c>
      <c r="F202" s="84">
        <v>120</v>
      </c>
      <c r="G202" s="84"/>
      <c r="H202" s="256">
        <v>120</v>
      </c>
      <c r="I202" s="256"/>
      <c r="J202" s="5">
        <v>0</v>
      </c>
      <c r="K202" s="46">
        <f>F202*J202/1000</f>
        <v>0</v>
      </c>
      <c r="L202" s="73"/>
      <c r="M202" s="73"/>
    </row>
    <row r="203" spans="1:13" ht="15.75" x14ac:dyDescent="0.25">
      <c r="A203" s="259"/>
      <c r="B203" s="307"/>
      <c r="C203" s="259"/>
      <c r="D203" s="111"/>
      <c r="E203" s="265" t="s">
        <v>391</v>
      </c>
      <c r="F203" s="84">
        <v>18</v>
      </c>
      <c r="G203" s="84"/>
      <c r="H203" s="256">
        <v>18</v>
      </c>
      <c r="I203" s="256"/>
      <c r="J203" s="5">
        <v>47</v>
      </c>
      <c r="K203" s="46">
        <f>F203*J203/1000</f>
        <v>0.84599999999999997</v>
      </c>
      <c r="L203" s="73"/>
      <c r="M203" s="73"/>
    </row>
    <row r="204" spans="1:13" ht="15.75" x14ac:dyDescent="0.25">
      <c r="A204" s="259"/>
      <c r="B204" s="307"/>
      <c r="C204" s="259"/>
      <c r="D204" s="111"/>
      <c r="E204" s="265" t="s">
        <v>142</v>
      </c>
      <c r="F204" s="84">
        <v>0.3</v>
      </c>
      <c r="G204" s="84"/>
      <c r="H204" s="256">
        <v>0.3</v>
      </c>
      <c r="I204" s="256"/>
      <c r="J204" s="5">
        <v>20</v>
      </c>
      <c r="K204" s="46">
        <f>F204*J204/1000</f>
        <v>6.0000000000000001E-3</v>
      </c>
      <c r="L204" s="73"/>
      <c r="M204" s="73"/>
    </row>
    <row r="205" spans="1:13" ht="15.75" x14ac:dyDescent="0.25">
      <c r="A205" s="259"/>
      <c r="B205" s="307"/>
      <c r="C205" s="259"/>
      <c r="D205" s="111"/>
      <c r="E205" s="265" t="s">
        <v>22</v>
      </c>
      <c r="F205" s="84">
        <v>5</v>
      </c>
      <c r="G205" s="84"/>
      <c r="H205" s="256">
        <v>5</v>
      </c>
      <c r="I205" s="256"/>
      <c r="J205" s="5">
        <v>990</v>
      </c>
      <c r="K205" s="46">
        <f>F205*J205/1000</f>
        <v>4.95</v>
      </c>
      <c r="L205" s="73"/>
      <c r="M205" s="73"/>
    </row>
    <row r="206" spans="1:13" ht="15.75" x14ac:dyDescent="0.25">
      <c r="A206" s="259"/>
      <c r="B206" s="307"/>
      <c r="C206" s="259"/>
      <c r="D206" s="111"/>
      <c r="E206" s="76" t="s">
        <v>112</v>
      </c>
      <c r="F206" s="12" t="s">
        <v>35</v>
      </c>
      <c r="G206" s="12"/>
      <c r="H206" s="234">
        <v>150</v>
      </c>
      <c r="I206" s="234"/>
      <c r="L206" s="73"/>
      <c r="M206" s="73"/>
    </row>
    <row r="207" spans="1:13" ht="15.75" x14ac:dyDescent="0.25">
      <c r="A207" s="259"/>
      <c r="B207" s="307"/>
      <c r="C207" s="259"/>
      <c r="D207" s="111"/>
      <c r="E207" s="111"/>
      <c r="F207" s="111"/>
      <c r="G207" s="111"/>
      <c r="H207" s="111"/>
      <c r="I207" s="111"/>
      <c r="L207" s="73"/>
      <c r="M207" s="73"/>
    </row>
    <row r="208" spans="1:13" ht="15.75" x14ac:dyDescent="0.25">
      <c r="A208" s="259"/>
      <c r="B208" s="307"/>
      <c r="C208" s="259" t="s">
        <v>89</v>
      </c>
      <c r="D208" s="111">
        <v>200</v>
      </c>
      <c r="E208" s="111"/>
      <c r="F208" s="98" t="s">
        <v>331</v>
      </c>
      <c r="G208" s="98"/>
      <c r="H208" s="232" t="s">
        <v>332</v>
      </c>
      <c r="I208" s="232"/>
      <c r="K208" s="337">
        <f>K209+K210</f>
        <v>1.5899999999999999</v>
      </c>
      <c r="L208" s="73"/>
      <c r="M208" s="73"/>
    </row>
    <row r="209" spans="1:13" ht="15.75" x14ac:dyDescent="0.25">
      <c r="A209" s="259"/>
      <c r="B209" s="307"/>
      <c r="C209" s="259"/>
      <c r="D209" s="111"/>
      <c r="E209" s="265" t="s">
        <v>275</v>
      </c>
      <c r="F209" s="84">
        <v>0.6</v>
      </c>
      <c r="G209" s="84"/>
      <c r="H209" s="256">
        <v>0.6</v>
      </c>
      <c r="I209" s="256"/>
      <c r="J209" s="5">
        <v>650</v>
      </c>
      <c r="K209" s="46">
        <f>J209*F209/1000</f>
        <v>0.39</v>
      </c>
      <c r="L209" s="73"/>
      <c r="M209" s="73"/>
    </row>
    <row r="210" spans="1:13" ht="15.75" x14ac:dyDescent="0.25">
      <c r="A210" s="259"/>
      <c r="B210" s="307"/>
      <c r="C210" s="259"/>
      <c r="D210" s="111"/>
      <c r="E210" s="97" t="s">
        <v>162</v>
      </c>
      <c r="F210" s="84">
        <v>15</v>
      </c>
      <c r="G210" s="84"/>
      <c r="H210" s="256">
        <v>15</v>
      </c>
      <c r="I210" s="256"/>
      <c r="J210" s="5">
        <v>80</v>
      </c>
      <c r="K210" s="46">
        <f>J210*F210/1000</f>
        <v>1.2</v>
      </c>
      <c r="L210" s="73"/>
      <c r="M210" s="73"/>
    </row>
    <row r="211" spans="1:13" ht="15.75" x14ac:dyDescent="0.25">
      <c r="A211" s="259"/>
      <c r="B211" s="307"/>
      <c r="C211" s="259"/>
      <c r="D211" s="111"/>
      <c r="E211" s="76" t="s">
        <v>112</v>
      </c>
      <c r="F211" s="12" t="s">
        <v>35</v>
      </c>
      <c r="G211" s="12"/>
      <c r="H211" s="234">
        <v>200</v>
      </c>
      <c r="I211" s="234"/>
      <c r="L211" s="73"/>
      <c r="M211" s="73"/>
    </row>
    <row r="212" spans="1:13" ht="15.75" x14ac:dyDescent="0.25">
      <c r="A212" s="259"/>
      <c r="B212" s="307"/>
      <c r="C212" s="259"/>
      <c r="D212" s="111"/>
      <c r="E212" s="111"/>
      <c r="F212" s="111"/>
      <c r="G212" s="111"/>
      <c r="H212" s="111"/>
      <c r="I212" s="111"/>
      <c r="L212" s="73"/>
      <c r="M212" s="73"/>
    </row>
    <row r="213" spans="1:13" ht="15.75" x14ac:dyDescent="0.25">
      <c r="A213" s="259"/>
      <c r="B213" s="307"/>
      <c r="C213" s="259" t="s">
        <v>90</v>
      </c>
      <c r="D213" s="111">
        <v>40</v>
      </c>
      <c r="E213" s="111"/>
      <c r="F213" s="111"/>
      <c r="G213" s="111"/>
      <c r="H213" s="111"/>
      <c r="I213" s="111"/>
      <c r="J213" s="5">
        <v>55.1</v>
      </c>
      <c r="K213" s="337">
        <f>D213*J213/1000</f>
        <v>2.2040000000000002</v>
      </c>
      <c r="L213" s="73"/>
      <c r="M213" s="73"/>
    </row>
    <row r="214" spans="1:13" ht="16.5" thickBot="1" x14ac:dyDescent="0.3">
      <c r="A214" s="259"/>
      <c r="B214" s="307"/>
      <c r="C214" s="259"/>
      <c r="D214" s="111"/>
      <c r="E214" s="111"/>
      <c r="F214" s="111"/>
      <c r="G214" s="111"/>
      <c r="H214" s="111"/>
      <c r="I214" s="111"/>
      <c r="L214" s="247"/>
      <c r="M214" s="247"/>
    </row>
    <row r="215" spans="1:13" ht="15.75" x14ac:dyDescent="0.25">
      <c r="A215" s="340" t="s">
        <v>399</v>
      </c>
      <c r="B215" s="261" t="s">
        <v>339</v>
      </c>
      <c r="C215" s="340"/>
      <c r="D215" s="341"/>
      <c r="E215" s="341"/>
      <c r="F215" s="341"/>
      <c r="G215" s="341"/>
      <c r="H215" s="341"/>
      <c r="I215" s="341"/>
      <c r="J215" s="13"/>
      <c r="K215" s="260"/>
      <c r="L215" s="73"/>
      <c r="M215" s="73"/>
    </row>
    <row r="216" spans="1:13" ht="15.75" x14ac:dyDescent="0.25">
      <c r="A216" s="259" t="s">
        <v>358</v>
      </c>
      <c r="B216" s="298">
        <f>K218+K222+K234+K240</f>
        <v>68.008105263157901</v>
      </c>
      <c r="C216" s="259"/>
      <c r="D216" s="111"/>
      <c r="E216" s="111"/>
      <c r="F216" s="111"/>
      <c r="G216" s="111"/>
      <c r="H216" s="111"/>
      <c r="I216" s="111"/>
      <c r="J216" s="289"/>
      <c r="K216" s="332"/>
      <c r="L216" s="73"/>
      <c r="M216" s="73">
        <f>K218+K222+K234+K240</f>
        <v>68.008105263157901</v>
      </c>
    </row>
    <row r="217" spans="1:13" ht="15.75" x14ac:dyDescent="0.25">
      <c r="A217" s="259"/>
      <c r="B217" s="307">
        <f>D216+D218+D222+D234+D240</f>
        <v>440</v>
      </c>
      <c r="C217" s="259"/>
      <c r="D217" s="111"/>
      <c r="E217" s="111"/>
      <c r="F217" s="111"/>
      <c r="G217" s="111"/>
      <c r="H217" s="111"/>
      <c r="I217" s="111"/>
      <c r="L217" s="73"/>
      <c r="M217" s="73"/>
    </row>
    <row r="218" spans="1:13" ht="15.75" x14ac:dyDescent="0.25">
      <c r="A218" s="111"/>
      <c r="B218" s="320"/>
      <c r="C218" s="259" t="s">
        <v>362</v>
      </c>
      <c r="D218" s="111">
        <v>30</v>
      </c>
      <c r="E218" s="111"/>
      <c r="F218" s="299" t="s">
        <v>331</v>
      </c>
      <c r="G218" s="299" t="s">
        <v>332</v>
      </c>
      <c r="H218" s="111"/>
      <c r="I218" s="111"/>
      <c r="K218" s="332">
        <f>K219</f>
        <v>11.842105263157896</v>
      </c>
      <c r="L218" s="73"/>
      <c r="M218" s="73"/>
    </row>
    <row r="219" spans="1:13" ht="15.75" x14ac:dyDescent="0.25">
      <c r="A219" s="111"/>
      <c r="B219" s="320"/>
      <c r="C219" s="259"/>
      <c r="D219" s="111"/>
      <c r="E219" s="300" t="s">
        <v>362</v>
      </c>
      <c r="F219" s="301">
        <v>30</v>
      </c>
      <c r="G219" s="301">
        <f>F219</f>
        <v>30</v>
      </c>
      <c r="H219" s="111"/>
      <c r="I219" s="111"/>
      <c r="J219" s="293">
        <v>150</v>
      </c>
      <c r="K219" s="46">
        <f>J219/380*F219</f>
        <v>11.842105263157896</v>
      </c>
      <c r="L219" s="73"/>
      <c r="M219" s="73"/>
    </row>
    <row r="220" spans="1:13" ht="15.75" x14ac:dyDescent="0.25">
      <c r="A220" s="111"/>
      <c r="B220" s="320"/>
      <c r="C220" s="259"/>
      <c r="D220" s="111"/>
      <c r="E220" s="302" t="s">
        <v>112</v>
      </c>
      <c r="F220" s="303" t="s">
        <v>35</v>
      </c>
      <c r="G220" s="304">
        <v>30</v>
      </c>
      <c r="H220" s="111"/>
      <c r="I220" s="111"/>
      <c r="L220" s="73"/>
      <c r="M220" s="73"/>
    </row>
    <row r="221" spans="1:13" ht="15.75" x14ac:dyDescent="0.25">
      <c r="A221" s="259"/>
      <c r="B221" s="307"/>
      <c r="C221" s="259"/>
      <c r="D221" s="111"/>
      <c r="E221" s="111"/>
      <c r="F221" s="111"/>
      <c r="G221" s="111"/>
      <c r="H221" s="111"/>
      <c r="I221" s="111"/>
      <c r="L221" s="73"/>
      <c r="M221" s="73"/>
    </row>
    <row r="222" spans="1:13" ht="15.75" x14ac:dyDescent="0.25">
      <c r="A222" s="111"/>
      <c r="B222" s="320"/>
      <c r="C222" s="259" t="s">
        <v>392</v>
      </c>
      <c r="D222" s="111">
        <v>170</v>
      </c>
      <c r="E222" s="111"/>
      <c r="F222" s="232" t="s">
        <v>331</v>
      </c>
      <c r="G222" s="232"/>
      <c r="H222" s="232" t="s">
        <v>332</v>
      </c>
      <c r="I222" s="232"/>
      <c r="K222" s="332">
        <f>SUM(K223:K231)</f>
        <v>51.956000000000003</v>
      </c>
      <c r="L222" s="73"/>
      <c r="M222" s="73"/>
    </row>
    <row r="223" spans="1:13" ht="15.75" x14ac:dyDescent="0.25">
      <c r="A223" s="111"/>
      <c r="B223" s="320"/>
      <c r="C223" s="259"/>
      <c r="D223" s="111"/>
      <c r="E223" s="265" t="s">
        <v>393</v>
      </c>
      <c r="F223" s="94">
        <f>134*H232/170</f>
        <v>134</v>
      </c>
      <c r="G223" s="94"/>
      <c r="H223" s="305">
        <f t="shared" ref="H223:H231" si="6">F223</f>
        <v>134</v>
      </c>
      <c r="I223" s="305"/>
      <c r="J223" s="5">
        <v>318</v>
      </c>
      <c r="K223" s="46">
        <f t="shared" ref="K223:K231" si="7">J223*F223/1000</f>
        <v>42.612000000000002</v>
      </c>
      <c r="L223" s="73"/>
      <c r="M223" s="73"/>
    </row>
    <row r="224" spans="1:13" ht="15.75" x14ac:dyDescent="0.25">
      <c r="A224" s="111"/>
      <c r="B224" s="320"/>
      <c r="C224" s="259"/>
      <c r="D224" s="111"/>
      <c r="E224" s="97" t="s">
        <v>29</v>
      </c>
      <c r="F224" s="94">
        <f>18*H232/170</f>
        <v>18</v>
      </c>
      <c r="G224" s="94"/>
      <c r="H224" s="305">
        <f t="shared" si="6"/>
        <v>18</v>
      </c>
      <c r="I224" s="305"/>
      <c r="J224" s="5">
        <v>94</v>
      </c>
      <c r="K224" s="46">
        <f t="shared" si="7"/>
        <v>1.6919999999999999</v>
      </c>
      <c r="L224" s="73"/>
      <c r="M224" s="73"/>
    </row>
    <row r="225" spans="1:13" ht="15.75" x14ac:dyDescent="0.25">
      <c r="A225" s="111"/>
      <c r="B225" s="320"/>
      <c r="C225" s="259"/>
      <c r="D225" s="111"/>
      <c r="E225" s="97" t="s">
        <v>31</v>
      </c>
      <c r="F225" s="94">
        <f>40*H232/170</f>
        <v>40</v>
      </c>
      <c r="G225" s="94"/>
      <c r="H225" s="305">
        <f t="shared" si="6"/>
        <v>40</v>
      </c>
      <c r="I225" s="305"/>
      <c r="J225" s="5">
        <v>69</v>
      </c>
      <c r="K225" s="46">
        <f t="shared" si="7"/>
        <v>2.76</v>
      </c>
      <c r="L225" s="73"/>
      <c r="M225" s="73"/>
    </row>
    <row r="226" spans="1:13" ht="15.75" x14ac:dyDescent="0.25">
      <c r="A226" s="111"/>
      <c r="B226" s="320"/>
      <c r="C226" s="259"/>
      <c r="D226" s="111"/>
      <c r="E226" s="97" t="s">
        <v>118</v>
      </c>
      <c r="F226" s="94">
        <f>0.02*H232/170</f>
        <v>0.02</v>
      </c>
      <c r="G226" s="94"/>
      <c r="H226" s="305">
        <f t="shared" si="6"/>
        <v>0.02</v>
      </c>
      <c r="I226" s="305"/>
      <c r="J226" s="5">
        <v>1200</v>
      </c>
      <c r="K226" s="46">
        <f t="shared" si="7"/>
        <v>2.4E-2</v>
      </c>
      <c r="L226" s="73"/>
      <c r="M226" s="73"/>
    </row>
    <row r="227" spans="1:13" ht="15.75" x14ac:dyDescent="0.25">
      <c r="A227" s="111"/>
      <c r="B227" s="320"/>
      <c r="C227" s="259"/>
      <c r="D227" s="111"/>
      <c r="E227" s="97" t="s">
        <v>333</v>
      </c>
      <c r="F227" s="94">
        <f>9*H232/170</f>
        <v>9</v>
      </c>
      <c r="G227" s="94"/>
      <c r="H227" s="305">
        <f t="shared" si="6"/>
        <v>9</v>
      </c>
      <c r="I227" s="305"/>
      <c r="J227" s="5">
        <v>216</v>
      </c>
      <c r="K227" s="46">
        <f t="shared" si="7"/>
        <v>1.944</v>
      </c>
      <c r="L227" s="73"/>
      <c r="M227" s="73"/>
    </row>
    <row r="228" spans="1:13" ht="15.75" x14ac:dyDescent="0.25">
      <c r="A228" s="111"/>
      <c r="B228" s="320"/>
      <c r="C228" s="259"/>
      <c r="D228" s="111"/>
      <c r="E228" s="97" t="s">
        <v>162</v>
      </c>
      <c r="F228" s="94">
        <f>3*H232/170</f>
        <v>3</v>
      </c>
      <c r="G228" s="94"/>
      <c r="H228" s="305">
        <f t="shared" si="6"/>
        <v>3</v>
      </c>
      <c r="I228" s="305"/>
      <c r="J228" s="5">
        <v>80</v>
      </c>
      <c r="K228" s="46">
        <f t="shared" si="7"/>
        <v>0.24</v>
      </c>
      <c r="L228" s="73"/>
      <c r="M228" s="73"/>
    </row>
    <row r="229" spans="1:13" ht="15.75" x14ac:dyDescent="0.25">
      <c r="A229" s="111"/>
      <c r="B229" s="320"/>
      <c r="C229" s="259"/>
      <c r="D229" s="111"/>
      <c r="E229" s="97" t="s">
        <v>315</v>
      </c>
      <c r="F229" s="94">
        <f>1.5*H232/170</f>
        <v>1.5</v>
      </c>
      <c r="G229" s="94"/>
      <c r="H229" s="305">
        <f t="shared" si="6"/>
        <v>1.5</v>
      </c>
      <c r="I229" s="305"/>
      <c r="J229" s="5">
        <v>200</v>
      </c>
      <c r="K229" s="46">
        <f t="shared" si="7"/>
        <v>0.3</v>
      </c>
      <c r="L229" s="73"/>
      <c r="M229" s="73"/>
    </row>
    <row r="230" spans="1:13" ht="15.75" x14ac:dyDescent="0.25">
      <c r="A230" s="111"/>
      <c r="B230" s="320"/>
      <c r="C230" s="259"/>
      <c r="D230" s="111"/>
      <c r="E230" s="97" t="s">
        <v>180</v>
      </c>
      <c r="F230" s="94">
        <f>2*H232/170</f>
        <v>2</v>
      </c>
      <c r="G230" s="94"/>
      <c r="H230" s="305">
        <f t="shared" si="6"/>
        <v>2</v>
      </c>
      <c r="I230" s="305"/>
      <c r="J230" s="5">
        <v>202</v>
      </c>
      <c r="K230" s="46">
        <f t="shared" si="7"/>
        <v>0.40400000000000003</v>
      </c>
      <c r="L230" s="73"/>
      <c r="M230" s="73"/>
    </row>
    <row r="231" spans="1:13" ht="15.75" x14ac:dyDescent="0.25">
      <c r="A231" s="111"/>
      <c r="B231" s="320"/>
      <c r="C231" s="259"/>
      <c r="D231" s="111"/>
      <c r="E231" s="97" t="s">
        <v>22</v>
      </c>
      <c r="F231" s="94">
        <f>2*H232/170</f>
        <v>2</v>
      </c>
      <c r="G231" s="94"/>
      <c r="H231" s="305">
        <f t="shared" si="6"/>
        <v>2</v>
      </c>
      <c r="I231" s="305"/>
      <c r="J231" s="5">
        <v>990</v>
      </c>
      <c r="K231" s="46">
        <f t="shared" si="7"/>
        <v>1.98</v>
      </c>
      <c r="L231" s="73"/>
      <c r="M231" s="73"/>
    </row>
    <row r="232" spans="1:13" ht="15.75" x14ac:dyDescent="0.25">
      <c r="A232" s="111"/>
      <c r="B232" s="320"/>
      <c r="C232" s="259"/>
      <c r="D232" s="111"/>
      <c r="E232" s="76" t="s">
        <v>112</v>
      </c>
      <c r="F232" s="12" t="s">
        <v>35</v>
      </c>
      <c r="G232" s="12"/>
      <c r="H232" s="234">
        <v>170</v>
      </c>
      <c r="I232" s="234"/>
      <c r="L232" s="73"/>
      <c r="M232" s="73"/>
    </row>
    <row r="233" spans="1:13" ht="15.75" x14ac:dyDescent="0.25">
      <c r="A233" s="259"/>
      <c r="B233" s="307"/>
      <c r="C233" s="259"/>
      <c r="D233" s="111"/>
      <c r="E233" s="111"/>
      <c r="F233" s="111"/>
      <c r="G233" s="111"/>
      <c r="H233" s="111"/>
      <c r="I233" s="111"/>
      <c r="L233" s="73"/>
      <c r="M233" s="73"/>
    </row>
    <row r="234" spans="1:13" ht="15.75" x14ac:dyDescent="0.25">
      <c r="A234" s="259"/>
      <c r="B234" s="307"/>
      <c r="C234" s="259" t="s">
        <v>89</v>
      </c>
      <c r="D234" s="111">
        <v>200</v>
      </c>
      <c r="E234" s="111"/>
      <c r="F234" s="98" t="s">
        <v>331</v>
      </c>
      <c r="G234" s="98"/>
      <c r="H234" s="232" t="s">
        <v>332</v>
      </c>
      <c r="I234" s="232"/>
      <c r="K234" s="337">
        <f>K235+K236</f>
        <v>1.5899999999999999</v>
      </c>
      <c r="L234" s="73"/>
      <c r="M234" s="73"/>
    </row>
    <row r="235" spans="1:13" ht="15.75" x14ac:dyDescent="0.25">
      <c r="A235" s="259"/>
      <c r="B235" s="307"/>
      <c r="C235" s="259"/>
      <c r="D235" s="111"/>
      <c r="E235" s="265" t="s">
        <v>275</v>
      </c>
      <c r="F235" s="84">
        <v>0.6</v>
      </c>
      <c r="G235" s="84"/>
      <c r="H235" s="256">
        <v>0.6</v>
      </c>
      <c r="I235" s="256"/>
      <c r="J235" s="5">
        <v>650</v>
      </c>
      <c r="K235" s="46">
        <f>J235*F235/1000</f>
        <v>0.39</v>
      </c>
      <c r="L235" s="73"/>
      <c r="M235" s="73"/>
    </row>
    <row r="236" spans="1:13" ht="15.75" x14ac:dyDescent="0.25">
      <c r="A236" s="259"/>
      <c r="B236" s="307"/>
      <c r="C236" s="259"/>
      <c r="D236" s="111"/>
      <c r="E236" s="97" t="s">
        <v>162</v>
      </c>
      <c r="F236" s="84">
        <v>15</v>
      </c>
      <c r="G236" s="84"/>
      <c r="H236" s="256">
        <v>15</v>
      </c>
      <c r="I236" s="256"/>
      <c r="J236" s="5">
        <v>80</v>
      </c>
      <c r="K236" s="46">
        <f>J236*F236/1000</f>
        <v>1.2</v>
      </c>
      <c r="L236" s="73"/>
      <c r="M236" s="73"/>
    </row>
    <row r="237" spans="1:13" ht="15.75" x14ac:dyDescent="0.25">
      <c r="A237" s="259"/>
      <c r="B237" s="307"/>
      <c r="C237" s="259"/>
      <c r="D237" s="111"/>
      <c r="E237" s="76" t="s">
        <v>112</v>
      </c>
      <c r="F237" s="12" t="s">
        <v>35</v>
      </c>
      <c r="G237" s="12"/>
      <c r="H237" s="234">
        <v>200</v>
      </c>
      <c r="I237" s="234"/>
      <c r="L237" s="73"/>
      <c r="M237" s="73"/>
    </row>
    <row r="238" spans="1:13" ht="15.75" x14ac:dyDescent="0.25">
      <c r="A238" s="259"/>
      <c r="B238" s="307"/>
      <c r="C238" s="259"/>
      <c r="D238" s="111"/>
      <c r="E238" s="76"/>
      <c r="F238" s="233"/>
      <c r="G238" s="233"/>
      <c r="H238" s="233"/>
      <c r="I238" s="233"/>
      <c r="L238" s="73"/>
      <c r="M238" s="73"/>
    </row>
    <row r="239" spans="1:13" ht="15.75" x14ac:dyDescent="0.25">
      <c r="A239" s="259"/>
      <c r="B239" s="307"/>
      <c r="C239" s="259"/>
      <c r="D239" s="111"/>
      <c r="E239" s="111"/>
      <c r="F239" s="111"/>
      <c r="G239" s="111"/>
      <c r="H239" s="111"/>
      <c r="I239" s="111"/>
      <c r="L239" s="73"/>
      <c r="M239" s="73"/>
    </row>
    <row r="240" spans="1:13" ht="15.75" x14ac:dyDescent="0.25">
      <c r="A240" s="259"/>
      <c r="B240" s="307"/>
      <c r="C240" s="259" t="s">
        <v>364</v>
      </c>
      <c r="D240" s="111">
        <v>40</v>
      </c>
      <c r="E240" s="111"/>
      <c r="F240" s="111"/>
      <c r="G240" s="111"/>
      <c r="H240" s="111"/>
      <c r="I240" s="111"/>
      <c r="J240" s="5">
        <v>65.5</v>
      </c>
      <c r="K240" s="332">
        <f>D240*J240/1000</f>
        <v>2.62</v>
      </c>
      <c r="L240" s="73"/>
      <c r="M240" s="73"/>
    </row>
    <row r="241" spans="1:13" ht="16.5" thickBot="1" x14ac:dyDescent="0.3">
      <c r="A241" s="259"/>
      <c r="B241" s="307"/>
      <c r="C241" s="259"/>
      <c r="D241" s="111"/>
      <c r="E241" s="111"/>
      <c r="F241" s="111"/>
      <c r="G241" s="111"/>
      <c r="H241" s="111"/>
      <c r="I241" s="111"/>
      <c r="L241" s="247"/>
      <c r="M241" s="247"/>
    </row>
    <row r="242" spans="1:13" ht="15.75" x14ac:dyDescent="0.25">
      <c r="A242" s="340" t="s">
        <v>400</v>
      </c>
      <c r="B242" s="261" t="s">
        <v>339</v>
      </c>
      <c r="C242" s="340" t="s">
        <v>347</v>
      </c>
      <c r="D242" s="341">
        <v>40</v>
      </c>
      <c r="E242" s="341"/>
      <c r="F242" s="341">
        <v>42</v>
      </c>
      <c r="G242" s="341"/>
      <c r="H242" s="341"/>
      <c r="I242" s="341"/>
      <c r="J242" s="13"/>
      <c r="K242" s="260">
        <f>J242*F242/1000</f>
        <v>0</v>
      </c>
      <c r="L242" s="73"/>
      <c r="M242" s="73"/>
    </row>
    <row r="243" spans="1:13" ht="15.75" x14ac:dyDescent="0.25">
      <c r="A243" s="259"/>
      <c r="B243" s="306">
        <f>+K242+K244+K269+K275+K277+K284</f>
        <v>77.125259999999997</v>
      </c>
      <c r="C243" s="259"/>
      <c r="D243" s="111"/>
      <c r="E243" s="111"/>
      <c r="F243" s="111"/>
      <c r="G243" s="111"/>
      <c r="H243" s="111"/>
      <c r="I243" s="111"/>
      <c r="L243" s="73"/>
      <c r="M243" s="241">
        <f>K244+K269+K275+K277+K284</f>
        <v>77.125259999999997</v>
      </c>
    </row>
    <row r="244" spans="1:13" ht="15.75" x14ac:dyDescent="0.25">
      <c r="A244" s="259"/>
      <c r="B244" s="307">
        <f>D242+D244+D269+D275+D277+D284</f>
        <v>680</v>
      </c>
      <c r="C244" s="111" t="s">
        <v>394</v>
      </c>
      <c r="D244" s="111">
        <v>100</v>
      </c>
      <c r="E244" s="111"/>
      <c r="F244" s="232" t="s">
        <v>331</v>
      </c>
      <c r="G244" s="232"/>
      <c r="H244" s="232" t="s">
        <v>332</v>
      </c>
      <c r="I244" s="232"/>
      <c r="K244" s="308">
        <f>SUM(K245:K264)</f>
        <v>48.51726</v>
      </c>
      <c r="L244" s="73"/>
      <c r="M244" s="73"/>
    </row>
    <row r="245" spans="1:13" ht="25.5" x14ac:dyDescent="0.25">
      <c r="A245" s="259"/>
      <c r="B245" s="307"/>
      <c r="C245" s="259"/>
      <c r="D245" s="111"/>
      <c r="E245" s="7" t="s">
        <v>349</v>
      </c>
      <c r="F245" s="7">
        <v>69.400000000000006</v>
      </c>
      <c r="G245" s="7"/>
      <c r="H245" s="217">
        <v>50.7</v>
      </c>
      <c r="I245" s="217"/>
      <c r="J245" s="5">
        <v>614</v>
      </c>
      <c r="K245" s="46">
        <f>F245*J245/1000</f>
        <v>42.611600000000003</v>
      </c>
      <c r="L245" s="73"/>
      <c r="M245" s="73"/>
    </row>
    <row r="246" spans="1:13" ht="15.75" x14ac:dyDescent="0.25">
      <c r="A246" s="111"/>
      <c r="B246" s="320"/>
      <c r="C246" s="259"/>
      <c r="D246" s="111"/>
      <c r="E246" s="7" t="s">
        <v>31</v>
      </c>
      <c r="F246" s="7">
        <v>16</v>
      </c>
      <c r="G246" s="7"/>
      <c r="H246" s="217">
        <v>16</v>
      </c>
      <c r="I246" s="217"/>
      <c r="J246" s="5">
        <v>69</v>
      </c>
      <c r="K246" s="46">
        <f>F246*J246/1000</f>
        <v>1.1040000000000001</v>
      </c>
      <c r="L246" s="73"/>
      <c r="M246" s="73"/>
    </row>
    <row r="247" spans="1:13" ht="15.75" x14ac:dyDescent="0.25">
      <c r="A247" s="111"/>
      <c r="B247" s="320"/>
      <c r="C247" s="259"/>
      <c r="D247" s="111"/>
      <c r="E247" s="7" t="s">
        <v>4</v>
      </c>
      <c r="F247" s="7">
        <v>11</v>
      </c>
      <c r="G247" s="7"/>
      <c r="H247" s="217">
        <v>11</v>
      </c>
      <c r="I247" s="217"/>
      <c r="J247" s="5">
        <v>55.1</v>
      </c>
      <c r="K247" s="46">
        <f>F247*J247/1000</f>
        <v>0.60609999999999997</v>
      </c>
      <c r="L247" s="73"/>
      <c r="M247" s="73"/>
    </row>
    <row r="248" spans="1:13" ht="15.75" x14ac:dyDescent="0.25">
      <c r="A248" s="111"/>
      <c r="B248" s="320"/>
      <c r="C248" s="259"/>
      <c r="D248" s="111"/>
      <c r="E248" s="7" t="s">
        <v>132</v>
      </c>
      <c r="F248" s="7">
        <v>31</v>
      </c>
      <c r="G248" s="7"/>
      <c r="H248" s="217">
        <v>26</v>
      </c>
      <c r="I248" s="217"/>
      <c r="J248" s="5">
        <v>27</v>
      </c>
      <c r="K248" s="46">
        <f>F248*J248/1000</f>
        <v>0.83699999999999997</v>
      </c>
      <c r="L248" s="73"/>
      <c r="M248" s="73"/>
    </row>
    <row r="249" spans="1:13" ht="15.75" x14ac:dyDescent="0.25">
      <c r="A249" s="111"/>
      <c r="B249" s="320"/>
      <c r="C249" s="259"/>
      <c r="D249" s="111"/>
      <c r="E249" s="7" t="s">
        <v>125</v>
      </c>
      <c r="F249" s="7">
        <v>4</v>
      </c>
      <c r="G249" s="7"/>
      <c r="H249" s="217">
        <v>4</v>
      </c>
      <c r="I249" s="217"/>
      <c r="J249" s="5">
        <v>177.17</v>
      </c>
      <c r="K249" s="46">
        <f>F249*J249/1000</f>
        <v>0.70867999999999998</v>
      </c>
      <c r="L249" s="73"/>
      <c r="M249" s="73"/>
    </row>
    <row r="250" spans="1:13" ht="15.75" x14ac:dyDescent="0.25">
      <c r="A250" s="111"/>
      <c r="B250" s="320"/>
      <c r="C250" s="259"/>
      <c r="D250" s="111"/>
      <c r="E250" s="7" t="s">
        <v>395</v>
      </c>
      <c r="F250" s="7" t="s">
        <v>35</v>
      </c>
      <c r="G250" s="7"/>
      <c r="H250" s="217">
        <v>13</v>
      </c>
      <c r="I250" s="217"/>
      <c r="L250" s="73"/>
      <c r="M250" s="73"/>
    </row>
    <row r="251" spans="1:13" ht="25.5" x14ac:dyDescent="0.25">
      <c r="A251" s="111"/>
      <c r="B251" s="320"/>
      <c r="C251" s="259"/>
      <c r="D251" s="111"/>
      <c r="E251" s="7" t="s">
        <v>396</v>
      </c>
      <c r="F251" s="7" t="s">
        <v>35</v>
      </c>
      <c r="G251" s="7"/>
      <c r="H251" s="217">
        <v>80</v>
      </c>
      <c r="I251" s="217"/>
      <c r="L251" s="73"/>
      <c r="M251" s="73"/>
    </row>
    <row r="252" spans="1:13" ht="15.75" x14ac:dyDescent="0.25">
      <c r="A252" s="111"/>
      <c r="B252" s="320"/>
      <c r="C252" s="259"/>
      <c r="D252" s="111"/>
      <c r="E252" s="7" t="s">
        <v>203</v>
      </c>
      <c r="F252" s="7">
        <v>5.3</v>
      </c>
      <c r="G252" s="7"/>
      <c r="H252" s="217">
        <v>5.3</v>
      </c>
      <c r="I252" s="217"/>
      <c r="J252" s="5">
        <v>39</v>
      </c>
      <c r="K252" s="46">
        <f>F252*J252/1000</f>
        <v>0.20669999999999999</v>
      </c>
      <c r="L252" s="73"/>
      <c r="M252" s="73"/>
    </row>
    <row r="253" spans="1:13" ht="25.5" x14ac:dyDescent="0.25">
      <c r="A253" s="111"/>
      <c r="B253" s="320"/>
      <c r="C253" s="259"/>
      <c r="D253" s="111"/>
      <c r="E253" s="7" t="s">
        <v>34</v>
      </c>
      <c r="F253" s="7">
        <v>0.35</v>
      </c>
      <c r="G253" s="7"/>
      <c r="H253" s="217">
        <v>0.35</v>
      </c>
      <c r="I253" s="217"/>
      <c r="J253" s="5">
        <v>20</v>
      </c>
      <c r="K253" s="46">
        <f>F253*J253/1000</f>
        <v>7.0000000000000001E-3</v>
      </c>
      <c r="L253" s="73"/>
      <c r="M253" s="73"/>
    </row>
    <row r="254" spans="1:13" ht="25.5" x14ac:dyDescent="0.25">
      <c r="A254" s="111"/>
      <c r="B254" s="320"/>
      <c r="C254" s="259"/>
      <c r="D254" s="111"/>
      <c r="E254" s="7" t="s">
        <v>119</v>
      </c>
      <c r="F254" s="7" t="s">
        <v>35</v>
      </c>
      <c r="G254" s="7"/>
      <c r="H254" s="217">
        <v>95</v>
      </c>
      <c r="I254" s="217"/>
      <c r="L254" s="73"/>
      <c r="M254" s="73"/>
    </row>
    <row r="255" spans="1:13" ht="15.75" x14ac:dyDescent="0.25">
      <c r="A255" s="111"/>
      <c r="B255" s="320"/>
      <c r="C255" s="259"/>
      <c r="D255" s="111"/>
      <c r="E255" s="7" t="s">
        <v>125</v>
      </c>
      <c r="F255" s="7">
        <v>4</v>
      </c>
      <c r="G255" s="7"/>
      <c r="H255" s="217">
        <v>4</v>
      </c>
      <c r="I255" s="217"/>
      <c r="J255" s="5">
        <v>177.17</v>
      </c>
      <c r="K255" s="46">
        <f t="shared" ref="K255:K264" si="8">F255*J255/1000</f>
        <v>0.70867999999999998</v>
      </c>
      <c r="L255" s="73"/>
      <c r="M255" s="73"/>
    </row>
    <row r="256" spans="1:13" ht="15.75" x14ac:dyDescent="0.25">
      <c r="A256" s="111"/>
      <c r="B256" s="320"/>
      <c r="C256" s="259"/>
      <c r="D256" s="111"/>
      <c r="E256" s="7" t="s">
        <v>134</v>
      </c>
      <c r="F256" s="7">
        <v>18</v>
      </c>
      <c r="G256" s="7"/>
      <c r="H256" s="217">
        <v>18</v>
      </c>
      <c r="I256" s="217"/>
      <c r="K256" s="46">
        <f t="shared" si="8"/>
        <v>0</v>
      </c>
      <c r="L256" s="73"/>
      <c r="M256" s="73"/>
    </row>
    <row r="257" spans="1:13" ht="15.75" x14ac:dyDescent="0.25">
      <c r="A257" s="111"/>
      <c r="B257" s="320"/>
      <c r="C257" s="259"/>
      <c r="D257" s="111"/>
      <c r="E257" s="7" t="s">
        <v>22</v>
      </c>
      <c r="F257" s="7">
        <v>0.9</v>
      </c>
      <c r="G257" s="7"/>
      <c r="H257" s="217">
        <v>0.9</v>
      </c>
      <c r="I257" s="217"/>
      <c r="J257" s="5">
        <v>990</v>
      </c>
      <c r="K257" s="46">
        <f t="shared" si="8"/>
        <v>0.89100000000000001</v>
      </c>
      <c r="L257" s="73"/>
      <c r="M257" s="73"/>
    </row>
    <row r="258" spans="1:13" ht="15.75" x14ac:dyDescent="0.25">
      <c r="A258" s="111"/>
      <c r="B258" s="320"/>
      <c r="C258" s="259"/>
      <c r="D258" s="111"/>
      <c r="E258" s="7" t="s">
        <v>203</v>
      </c>
      <c r="F258" s="7">
        <v>0.9</v>
      </c>
      <c r="G258" s="7"/>
      <c r="H258" s="217">
        <v>0.9</v>
      </c>
      <c r="I258" s="217"/>
      <c r="J258" s="5">
        <v>39</v>
      </c>
      <c r="K258" s="46">
        <f t="shared" si="8"/>
        <v>3.5099999999999999E-2</v>
      </c>
      <c r="L258" s="73"/>
      <c r="M258" s="73"/>
    </row>
    <row r="259" spans="1:13" ht="15.75" x14ac:dyDescent="0.25">
      <c r="A259" s="111"/>
      <c r="B259" s="320"/>
      <c r="C259" s="259"/>
      <c r="D259" s="111"/>
      <c r="E259" s="7" t="s">
        <v>131</v>
      </c>
      <c r="F259" s="7">
        <v>1.5</v>
      </c>
      <c r="G259" s="7"/>
      <c r="H259" s="217">
        <v>1.2</v>
      </c>
      <c r="I259" s="217"/>
      <c r="J259" s="5">
        <v>35</v>
      </c>
      <c r="K259" s="46">
        <f t="shared" si="8"/>
        <v>5.2499999999999998E-2</v>
      </c>
      <c r="L259" s="73"/>
      <c r="M259" s="73"/>
    </row>
    <row r="260" spans="1:13" ht="15.75" x14ac:dyDescent="0.25">
      <c r="A260" s="111"/>
      <c r="B260" s="320"/>
      <c r="C260" s="259"/>
      <c r="D260" s="111"/>
      <c r="E260" s="7" t="s">
        <v>132</v>
      </c>
      <c r="F260" s="7">
        <v>0.5</v>
      </c>
      <c r="G260" s="7"/>
      <c r="H260" s="217">
        <v>0.4</v>
      </c>
      <c r="I260" s="217"/>
      <c r="J260" s="5">
        <v>27</v>
      </c>
      <c r="K260" s="46">
        <f t="shared" si="8"/>
        <v>1.35E-2</v>
      </c>
      <c r="L260" s="73"/>
      <c r="M260" s="73"/>
    </row>
    <row r="261" spans="1:13" ht="15.75" x14ac:dyDescent="0.25">
      <c r="A261" s="111"/>
      <c r="B261" s="320"/>
      <c r="C261" s="259"/>
      <c r="D261" s="111"/>
      <c r="E261" s="7" t="s">
        <v>353</v>
      </c>
      <c r="F261" s="7">
        <v>2</v>
      </c>
      <c r="G261" s="7"/>
      <c r="H261" s="217">
        <v>2</v>
      </c>
      <c r="I261" s="217"/>
      <c r="J261" s="5">
        <v>210</v>
      </c>
      <c r="K261" s="46">
        <f t="shared" si="8"/>
        <v>0.42</v>
      </c>
      <c r="L261" s="73"/>
      <c r="M261" s="73"/>
    </row>
    <row r="262" spans="1:13" ht="15.75" x14ac:dyDescent="0.25">
      <c r="A262" s="111"/>
      <c r="B262" s="320"/>
      <c r="C262" s="259"/>
      <c r="D262" s="111"/>
      <c r="E262" s="7" t="s">
        <v>22</v>
      </c>
      <c r="F262" s="7">
        <v>0.3</v>
      </c>
      <c r="G262" s="7"/>
      <c r="H262" s="217">
        <v>0.3</v>
      </c>
      <c r="I262" s="217"/>
      <c r="J262" s="5">
        <v>990</v>
      </c>
      <c r="K262" s="46">
        <f t="shared" si="8"/>
        <v>0.29699999999999999</v>
      </c>
      <c r="L262" s="73"/>
      <c r="M262" s="73"/>
    </row>
    <row r="263" spans="1:13" ht="15.75" x14ac:dyDescent="0.25">
      <c r="A263" s="111"/>
      <c r="B263" s="320"/>
      <c r="C263" s="259"/>
      <c r="D263" s="111"/>
      <c r="E263" s="7" t="s">
        <v>33</v>
      </c>
      <c r="F263" s="7">
        <v>0.2</v>
      </c>
      <c r="G263" s="7"/>
      <c r="H263" s="217">
        <v>0.2</v>
      </c>
      <c r="I263" s="217"/>
      <c r="J263" s="5">
        <v>80</v>
      </c>
      <c r="K263" s="46">
        <f t="shared" si="8"/>
        <v>1.6E-2</v>
      </c>
      <c r="L263" s="73"/>
      <c r="M263" s="73"/>
    </row>
    <row r="264" spans="1:13" ht="25.5" x14ac:dyDescent="0.25">
      <c r="A264" s="111"/>
      <c r="B264" s="320"/>
      <c r="C264" s="259"/>
      <c r="D264" s="111"/>
      <c r="E264" s="7" t="s">
        <v>34</v>
      </c>
      <c r="F264" s="7">
        <v>0.12</v>
      </c>
      <c r="G264" s="7"/>
      <c r="H264" s="217">
        <v>0.12</v>
      </c>
      <c r="I264" s="217"/>
      <c r="J264" s="5">
        <v>20</v>
      </c>
      <c r="K264" s="46">
        <f t="shared" si="8"/>
        <v>2.3999999999999998E-3</v>
      </c>
      <c r="L264" s="73"/>
      <c r="M264" s="73"/>
    </row>
    <row r="265" spans="1:13" ht="15.75" x14ac:dyDescent="0.25">
      <c r="A265" s="111"/>
      <c r="B265" s="320"/>
      <c r="C265" s="259"/>
      <c r="D265" s="111"/>
      <c r="E265" s="7" t="s">
        <v>32</v>
      </c>
      <c r="F265" s="7">
        <v>20</v>
      </c>
      <c r="G265" s="7"/>
      <c r="H265" s="217">
        <v>20</v>
      </c>
      <c r="I265" s="217"/>
      <c r="L265" s="73"/>
      <c r="M265" s="73"/>
    </row>
    <row r="266" spans="1:13" ht="15.75" x14ac:dyDescent="0.25">
      <c r="A266" s="111"/>
      <c r="B266" s="320"/>
      <c r="C266" s="259"/>
      <c r="D266" s="111"/>
      <c r="E266" s="7" t="s">
        <v>397</v>
      </c>
      <c r="F266" s="217" t="s">
        <v>35</v>
      </c>
      <c r="G266" s="217"/>
      <c r="H266" s="217">
        <v>20</v>
      </c>
      <c r="I266" s="217"/>
      <c r="L266" s="73"/>
      <c r="M266" s="73"/>
    </row>
    <row r="267" spans="1:13" ht="15.75" x14ac:dyDescent="0.25">
      <c r="A267" s="111"/>
      <c r="B267" s="320"/>
      <c r="C267" s="259"/>
      <c r="D267" s="111"/>
      <c r="E267" s="56" t="s">
        <v>23</v>
      </c>
      <c r="F267" s="233">
        <v>100</v>
      </c>
      <c r="G267" s="233"/>
      <c r="H267" s="233"/>
      <c r="I267" s="233"/>
      <c r="L267" s="73"/>
      <c r="M267" s="73"/>
    </row>
    <row r="268" spans="1:13" ht="15.75" x14ac:dyDescent="0.25">
      <c r="A268" s="259"/>
      <c r="B268" s="307"/>
      <c r="C268" s="259"/>
      <c r="D268" s="111"/>
      <c r="E268" s="111"/>
      <c r="F268" s="111"/>
      <c r="G268" s="111"/>
      <c r="H268" s="111"/>
      <c r="I268" s="111"/>
      <c r="L268" s="73"/>
      <c r="M268" s="73"/>
    </row>
    <row r="269" spans="1:13" ht="15.75" x14ac:dyDescent="0.25">
      <c r="A269" s="111"/>
      <c r="B269" s="320"/>
      <c r="C269" s="259" t="s">
        <v>372</v>
      </c>
      <c r="D269" s="111">
        <v>150</v>
      </c>
      <c r="E269" s="111"/>
      <c r="F269" s="232" t="s">
        <v>331</v>
      </c>
      <c r="G269" s="232"/>
      <c r="H269" s="232" t="s">
        <v>332</v>
      </c>
      <c r="I269" s="232"/>
      <c r="K269" s="308">
        <f>SUM(K270:K272)</f>
        <v>6.0440000000000005</v>
      </c>
      <c r="L269" s="73"/>
      <c r="M269" s="73"/>
    </row>
    <row r="270" spans="1:13" ht="15.75" x14ac:dyDescent="0.25">
      <c r="A270" s="111"/>
      <c r="B270" s="320"/>
      <c r="C270" s="259"/>
      <c r="D270" s="111"/>
      <c r="E270" s="265" t="s">
        <v>166</v>
      </c>
      <c r="F270" s="84">
        <v>52</v>
      </c>
      <c r="G270" s="84"/>
      <c r="H270" s="256">
        <v>52</v>
      </c>
      <c r="I270" s="256"/>
      <c r="J270" s="5">
        <v>59</v>
      </c>
      <c r="K270" s="46">
        <f>F270*J270/1000</f>
        <v>3.0680000000000001</v>
      </c>
      <c r="L270" s="73"/>
      <c r="M270" s="73"/>
    </row>
    <row r="271" spans="1:13" ht="15.75" x14ac:dyDescent="0.25">
      <c r="A271" s="111"/>
      <c r="B271" s="320"/>
      <c r="C271" s="259"/>
      <c r="D271" s="111"/>
      <c r="E271" s="265" t="s">
        <v>142</v>
      </c>
      <c r="F271" s="84">
        <v>0.3</v>
      </c>
      <c r="G271" s="84"/>
      <c r="H271" s="256">
        <v>0.3</v>
      </c>
      <c r="I271" s="256"/>
      <c r="J271" s="5">
        <v>20</v>
      </c>
      <c r="K271" s="46">
        <f>F271*J271/1000</f>
        <v>6.0000000000000001E-3</v>
      </c>
      <c r="L271" s="73"/>
      <c r="M271" s="73"/>
    </row>
    <row r="272" spans="1:13" ht="15.75" x14ac:dyDescent="0.25">
      <c r="A272" s="111"/>
      <c r="B272" s="320"/>
      <c r="C272" s="259"/>
      <c r="D272" s="111"/>
      <c r="E272" s="265" t="s">
        <v>22</v>
      </c>
      <c r="F272" s="84">
        <v>3</v>
      </c>
      <c r="G272" s="84"/>
      <c r="H272" s="256">
        <v>3</v>
      </c>
      <c r="I272" s="256"/>
      <c r="J272" s="5">
        <v>990</v>
      </c>
      <c r="K272" s="46">
        <f>F272*J272/1000</f>
        <v>2.97</v>
      </c>
      <c r="L272" s="73"/>
      <c r="M272" s="73"/>
    </row>
    <row r="273" spans="1:13" ht="15.75" x14ac:dyDescent="0.25">
      <c r="A273" s="111"/>
      <c r="B273" s="320"/>
      <c r="C273" s="259"/>
      <c r="D273" s="111"/>
      <c r="E273" s="76" t="s">
        <v>112</v>
      </c>
      <c r="F273" s="12" t="s">
        <v>35</v>
      </c>
      <c r="G273" s="12"/>
      <c r="H273" s="234">
        <v>150</v>
      </c>
      <c r="I273" s="234"/>
      <c r="L273" s="73"/>
      <c r="M273" s="73"/>
    </row>
    <row r="274" spans="1:13" ht="15.75" x14ac:dyDescent="0.25">
      <c r="A274" s="259"/>
      <c r="B274" s="307"/>
      <c r="C274" s="259"/>
      <c r="D274" s="111"/>
      <c r="E274" s="111"/>
      <c r="F274" s="111"/>
      <c r="G274" s="111"/>
      <c r="H274" s="111"/>
      <c r="I274" s="111"/>
      <c r="L274" s="73"/>
      <c r="M274" s="73"/>
    </row>
    <row r="275" spans="1:13" ht="15.75" x14ac:dyDescent="0.25">
      <c r="A275" s="111"/>
      <c r="B275" s="320"/>
      <c r="C275" s="259" t="s">
        <v>340</v>
      </c>
      <c r="D275" s="111">
        <v>150</v>
      </c>
      <c r="E275" s="111"/>
      <c r="F275" s="111"/>
      <c r="G275" s="111"/>
      <c r="H275" s="111"/>
      <c r="I275" s="111"/>
      <c r="J275" s="5">
        <v>70</v>
      </c>
      <c r="K275" s="308">
        <f>J275*D275/1000</f>
        <v>10.5</v>
      </c>
      <c r="L275" s="73"/>
      <c r="M275" s="73"/>
    </row>
    <row r="276" spans="1:13" ht="15.75" x14ac:dyDescent="0.25">
      <c r="A276" s="259"/>
      <c r="B276" s="307"/>
      <c r="C276" s="259"/>
      <c r="D276" s="111"/>
      <c r="E276" s="111"/>
      <c r="F276" s="111"/>
      <c r="G276" s="111"/>
      <c r="H276" s="111"/>
      <c r="I276" s="111"/>
      <c r="L276" s="73"/>
      <c r="M276" s="73"/>
    </row>
    <row r="277" spans="1:13" ht="15.75" x14ac:dyDescent="0.25">
      <c r="A277" s="111"/>
      <c r="B277" s="320"/>
      <c r="C277" s="259" t="s">
        <v>354</v>
      </c>
      <c r="D277" s="111">
        <v>200</v>
      </c>
      <c r="E277" s="111"/>
      <c r="F277" s="232" t="s">
        <v>331</v>
      </c>
      <c r="G277" s="232"/>
      <c r="H277" s="232" t="s">
        <v>332</v>
      </c>
      <c r="I277" s="232"/>
      <c r="K277" s="308">
        <f>SUM(K278:K281)</f>
        <v>9.86</v>
      </c>
      <c r="L277" s="73"/>
      <c r="M277" s="73"/>
    </row>
    <row r="278" spans="1:13" ht="15.75" x14ac:dyDescent="0.25">
      <c r="A278" s="111"/>
      <c r="B278" s="320"/>
      <c r="C278" s="259"/>
      <c r="D278" s="111"/>
      <c r="E278" s="265" t="s">
        <v>355</v>
      </c>
      <c r="F278" s="84">
        <v>4</v>
      </c>
      <c r="G278" s="84"/>
      <c r="H278" s="256">
        <v>4</v>
      </c>
      <c r="I278" s="256"/>
      <c r="J278" s="5">
        <v>440</v>
      </c>
      <c r="K278" s="46">
        <f>J278*F278/1000</f>
        <v>1.76</v>
      </c>
      <c r="L278" s="73"/>
      <c r="M278" s="73"/>
    </row>
    <row r="279" spans="1:13" ht="15.75" x14ac:dyDescent="0.25">
      <c r="A279" s="111"/>
      <c r="B279" s="320"/>
      <c r="C279" s="259"/>
      <c r="D279" s="111"/>
      <c r="E279" s="97" t="s">
        <v>162</v>
      </c>
      <c r="F279" s="84">
        <v>15</v>
      </c>
      <c r="G279" s="84"/>
      <c r="H279" s="256">
        <v>15</v>
      </c>
      <c r="I279" s="256"/>
      <c r="J279" s="5">
        <v>80</v>
      </c>
      <c r="K279" s="46">
        <f>J279*F279/1000</f>
        <v>1.2</v>
      </c>
      <c r="L279" s="73"/>
      <c r="M279" s="73"/>
    </row>
    <row r="280" spans="1:13" ht="15.75" x14ac:dyDescent="0.25">
      <c r="A280" s="111"/>
      <c r="B280" s="320"/>
      <c r="C280" s="259"/>
      <c r="D280" s="111"/>
      <c r="E280" s="97" t="s">
        <v>356</v>
      </c>
      <c r="F280" s="84">
        <v>100</v>
      </c>
      <c r="G280" s="84"/>
      <c r="H280" s="256">
        <v>100</v>
      </c>
      <c r="I280" s="256"/>
      <c r="J280" s="5">
        <v>69</v>
      </c>
      <c r="K280" s="46">
        <f>J280*F280/1000</f>
        <v>6.9</v>
      </c>
      <c r="L280" s="73"/>
      <c r="M280" s="73"/>
    </row>
    <row r="281" spans="1:13" ht="15.75" x14ac:dyDescent="0.25">
      <c r="A281" s="111"/>
      <c r="B281" s="320"/>
      <c r="C281" s="259"/>
      <c r="D281" s="111"/>
      <c r="E281" s="97" t="s">
        <v>32</v>
      </c>
      <c r="F281" s="84">
        <v>81</v>
      </c>
      <c r="G281" s="84"/>
      <c r="H281" s="256">
        <v>81</v>
      </c>
      <c r="I281" s="256"/>
      <c r="J281" s="5">
        <v>0</v>
      </c>
      <c r="K281" s="46">
        <f>J281*F281/1000</f>
        <v>0</v>
      </c>
      <c r="L281" s="73"/>
      <c r="M281" s="73"/>
    </row>
    <row r="282" spans="1:13" ht="15.75" x14ac:dyDescent="0.25">
      <c r="A282" s="111"/>
      <c r="B282" s="320"/>
      <c r="C282" s="259"/>
      <c r="D282" s="111"/>
      <c r="E282" s="76" t="s">
        <v>112</v>
      </c>
      <c r="F282" s="233" t="s">
        <v>35</v>
      </c>
      <c r="G282" s="233"/>
      <c r="H282" s="234">
        <v>200</v>
      </c>
      <c r="I282" s="234"/>
      <c r="L282" s="73"/>
      <c r="M282" s="73"/>
    </row>
    <row r="283" spans="1:13" ht="15.75" x14ac:dyDescent="0.25">
      <c r="A283" s="259"/>
      <c r="B283" s="307"/>
      <c r="C283" s="259"/>
      <c r="D283" s="111"/>
      <c r="E283" s="111"/>
      <c r="F283" s="111"/>
      <c r="G283" s="111"/>
      <c r="H283" s="111"/>
      <c r="I283" s="111"/>
      <c r="L283" s="73"/>
      <c r="M283" s="73"/>
    </row>
    <row r="284" spans="1:13" ht="15.75" x14ac:dyDescent="0.25">
      <c r="A284" s="111"/>
      <c r="B284" s="320"/>
      <c r="C284" s="259" t="s">
        <v>90</v>
      </c>
      <c r="D284" s="111">
        <v>40</v>
      </c>
      <c r="E284" s="111"/>
      <c r="F284" s="111"/>
      <c r="G284" s="111"/>
      <c r="H284" s="111"/>
      <c r="I284" s="111"/>
      <c r="J284" s="5">
        <v>55.1</v>
      </c>
      <c r="K284" s="308">
        <f>D284*J284/1000</f>
        <v>2.2040000000000002</v>
      </c>
      <c r="L284" s="73"/>
      <c r="M284" s="73"/>
    </row>
    <row r="285" spans="1:13" ht="16.5" thickBot="1" x14ac:dyDescent="0.3">
      <c r="A285" s="259"/>
      <c r="B285" s="307"/>
      <c r="C285" s="259"/>
      <c r="D285" s="111"/>
      <c r="E285" s="111"/>
      <c r="F285" s="111"/>
      <c r="G285" s="111"/>
      <c r="H285" s="111"/>
      <c r="I285" s="111"/>
      <c r="L285" s="247"/>
      <c r="M285" s="247"/>
    </row>
    <row r="286" spans="1:13" ht="15.75" x14ac:dyDescent="0.25">
      <c r="A286" s="340" t="s">
        <v>401</v>
      </c>
      <c r="B286" s="261">
        <f>K291+K293+K303+K308+K289</f>
        <v>48.82</v>
      </c>
      <c r="C286" s="340"/>
      <c r="D286" s="341"/>
      <c r="E286" s="341"/>
      <c r="F286" s="341"/>
      <c r="G286" s="341"/>
      <c r="H286" s="341"/>
      <c r="I286" s="341"/>
      <c r="J286" s="13"/>
      <c r="K286" s="260"/>
      <c r="L286" s="73"/>
      <c r="M286" s="73"/>
    </row>
    <row r="287" spans="1:13" ht="15.75" x14ac:dyDescent="0.25">
      <c r="A287" s="259"/>
      <c r="B287" s="307">
        <f>D291+D293+D303+D308+D289</f>
        <v>500</v>
      </c>
      <c r="C287" s="259"/>
      <c r="D287" s="111"/>
      <c r="E287" s="265"/>
      <c r="F287" s="84"/>
      <c r="G287" s="84"/>
      <c r="H287" s="256"/>
      <c r="I287" s="256"/>
      <c r="J287" s="54"/>
      <c r="K287" s="328"/>
      <c r="L287" s="73"/>
      <c r="M287" s="73" t="e">
        <f>K291+K293+#REF!+K303+K308</f>
        <v>#REF!</v>
      </c>
    </row>
    <row r="288" spans="1:13" ht="15.75" x14ac:dyDescent="0.25">
      <c r="A288" s="259"/>
      <c r="B288" s="307"/>
      <c r="C288" s="287"/>
      <c r="D288" s="274"/>
      <c r="E288" s="295"/>
      <c r="F288" s="309"/>
      <c r="G288" s="309"/>
      <c r="H288" s="274"/>
      <c r="I288" s="274"/>
      <c r="J288" s="54"/>
      <c r="K288" s="328"/>
      <c r="L288" s="73"/>
      <c r="M288" s="73"/>
    </row>
    <row r="289" spans="1:13" ht="15.75" x14ac:dyDescent="0.25">
      <c r="A289" s="259"/>
      <c r="B289" s="307"/>
      <c r="C289" s="292" t="s">
        <v>347</v>
      </c>
      <c r="D289" s="286">
        <v>40</v>
      </c>
      <c r="E289" s="286"/>
      <c r="F289" s="286">
        <v>42</v>
      </c>
      <c r="G289" s="286"/>
      <c r="H289" s="286"/>
      <c r="I289" s="286"/>
      <c r="J289" s="293"/>
      <c r="K289" s="338">
        <f>J289*F289/1000</f>
        <v>0</v>
      </c>
      <c r="L289" s="73"/>
      <c r="M289" s="73"/>
    </row>
    <row r="290" spans="1:13" ht="15.75" x14ac:dyDescent="0.25">
      <c r="A290" s="259"/>
      <c r="B290" s="307"/>
      <c r="C290" s="259"/>
      <c r="D290" s="111"/>
      <c r="E290" s="111"/>
      <c r="F290" s="111"/>
      <c r="G290" s="111"/>
      <c r="H290" s="111"/>
      <c r="I290" s="111"/>
      <c r="L290" s="73"/>
      <c r="M290" s="73"/>
    </row>
    <row r="291" spans="1:13" ht="15.75" x14ac:dyDescent="0.25">
      <c r="A291" s="259"/>
      <c r="B291" s="307"/>
      <c r="C291" s="259" t="s">
        <v>380</v>
      </c>
      <c r="D291" s="111">
        <v>20</v>
      </c>
      <c r="E291" s="265" t="s">
        <v>381</v>
      </c>
      <c r="F291" s="84">
        <v>21</v>
      </c>
      <c r="G291" s="84"/>
      <c r="H291" s="256">
        <v>20</v>
      </c>
      <c r="I291" s="256"/>
      <c r="J291" s="5">
        <v>550</v>
      </c>
      <c r="K291" s="336">
        <f>F291*J291/1000</f>
        <v>11.55</v>
      </c>
      <c r="L291" s="73"/>
      <c r="M291" s="73"/>
    </row>
    <row r="292" spans="1:13" ht="15.75" x14ac:dyDescent="0.25">
      <c r="A292" s="259"/>
      <c r="B292" s="307"/>
      <c r="C292" s="259"/>
      <c r="D292" s="111"/>
      <c r="E292" s="111"/>
      <c r="F292" s="111"/>
      <c r="G292" s="111"/>
      <c r="H292" s="111"/>
      <c r="I292" s="111"/>
      <c r="L292" s="73"/>
      <c r="M292" s="73"/>
    </row>
    <row r="293" spans="1:13" ht="15.75" x14ac:dyDescent="0.25">
      <c r="A293" s="259"/>
      <c r="B293" s="307"/>
      <c r="C293" s="259" t="s">
        <v>111</v>
      </c>
      <c r="D293" s="111">
        <v>200</v>
      </c>
      <c r="E293" s="111"/>
      <c r="F293" s="232" t="s">
        <v>331</v>
      </c>
      <c r="G293" s="232"/>
      <c r="H293" s="232" t="s">
        <v>332</v>
      </c>
      <c r="I293" s="232"/>
      <c r="K293" s="335">
        <f>SUM(K294:K299)</f>
        <v>33.06</v>
      </c>
      <c r="L293" s="73"/>
      <c r="M293" s="73"/>
    </row>
    <row r="294" spans="1:13" ht="15.75" x14ac:dyDescent="0.25">
      <c r="A294" s="259"/>
      <c r="B294" s="307"/>
      <c r="C294" s="259"/>
      <c r="D294" s="111"/>
      <c r="E294" s="265" t="s">
        <v>333</v>
      </c>
      <c r="F294" s="84">
        <v>100</v>
      </c>
      <c r="G294" s="84"/>
      <c r="H294" s="256">
        <f t="shared" ref="H294:H298" si="9">F294</f>
        <v>100</v>
      </c>
      <c r="I294" s="256"/>
      <c r="J294" s="5">
        <v>216</v>
      </c>
      <c r="K294" s="46">
        <f t="shared" ref="K294:K299" si="10">F294*J294/1000</f>
        <v>21.6</v>
      </c>
      <c r="L294" s="73"/>
      <c r="M294" s="73"/>
    </row>
    <row r="295" spans="1:13" ht="15.75" x14ac:dyDescent="0.25">
      <c r="A295" s="259"/>
      <c r="B295" s="307"/>
      <c r="C295" s="259"/>
      <c r="D295" s="111"/>
      <c r="E295" s="97" t="s">
        <v>31</v>
      </c>
      <c r="F295" s="84">
        <v>80</v>
      </c>
      <c r="G295" s="84"/>
      <c r="H295" s="256">
        <f t="shared" si="9"/>
        <v>80</v>
      </c>
      <c r="I295" s="256"/>
      <c r="J295" s="5">
        <v>69</v>
      </c>
      <c r="K295" s="46">
        <f t="shared" si="10"/>
        <v>5.52</v>
      </c>
      <c r="L295" s="73"/>
      <c r="M295" s="73"/>
    </row>
    <row r="296" spans="1:13" ht="15.75" x14ac:dyDescent="0.25">
      <c r="A296" s="259"/>
      <c r="B296" s="307"/>
      <c r="C296" s="259"/>
      <c r="D296" s="111"/>
      <c r="E296" s="97" t="s">
        <v>22</v>
      </c>
      <c r="F296" s="84">
        <v>3</v>
      </c>
      <c r="G296" s="84"/>
      <c r="H296" s="256">
        <f t="shared" si="9"/>
        <v>3</v>
      </c>
      <c r="I296" s="256"/>
      <c r="J296" s="5">
        <v>990</v>
      </c>
      <c r="K296" s="46">
        <f t="shared" si="10"/>
        <v>2.97</v>
      </c>
      <c r="L296" s="73"/>
      <c r="M296" s="73"/>
    </row>
    <row r="297" spans="1:13" ht="15.75" x14ac:dyDescent="0.25">
      <c r="A297" s="259"/>
      <c r="B297" s="307"/>
      <c r="C297" s="259"/>
      <c r="D297" s="111"/>
      <c r="E297" s="97" t="s">
        <v>136</v>
      </c>
      <c r="F297" s="84">
        <v>45</v>
      </c>
      <c r="G297" s="84"/>
      <c r="H297" s="256">
        <f t="shared" si="9"/>
        <v>45</v>
      </c>
      <c r="I297" s="256"/>
      <c r="K297" s="46">
        <f t="shared" si="10"/>
        <v>0</v>
      </c>
      <c r="L297" s="73"/>
      <c r="M297" s="73"/>
    </row>
    <row r="298" spans="1:13" ht="15.75" x14ac:dyDescent="0.25">
      <c r="A298" s="259"/>
      <c r="B298" s="307"/>
      <c r="C298" s="259"/>
      <c r="D298" s="111"/>
      <c r="E298" s="97" t="s">
        <v>22</v>
      </c>
      <c r="F298" s="18">
        <v>3</v>
      </c>
      <c r="G298" s="18"/>
      <c r="H298" s="256">
        <f t="shared" si="9"/>
        <v>3</v>
      </c>
      <c r="I298" s="256"/>
      <c r="J298" s="5">
        <v>990</v>
      </c>
      <c r="K298" s="46">
        <f t="shared" si="10"/>
        <v>2.97</v>
      </c>
      <c r="L298" s="73"/>
      <c r="M298" s="73"/>
    </row>
    <row r="299" spans="1:13" ht="15.75" x14ac:dyDescent="0.25">
      <c r="A299" s="259"/>
      <c r="B299" s="307"/>
      <c r="C299" s="259"/>
      <c r="D299" s="111"/>
      <c r="E299" s="265"/>
      <c r="F299" s="256"/>
      <c r="G299" s="256"/>
      <c r="H299" s="256"/>
      <c r="I299" s="256"/>
      <c r="K299" s="46">
        <f t="shared" si="10"/>
        <v>0</v>
      </c>
      <c r="L299" s="73"/>
      <c r="M299" s="73"/>
    </row>
    <row r="300" spans="1:13" ht="15.75" x14ac:dyDescent="0.25">
      <c r="A300" s="259"/>
      <c r="B300" s="307"/>
      <c r="C300" s="259"/>
      <c r="D300" s="111"/>
      <c r="E300" s="76" t="s">
        <v>112</v>
      </c>
      <c r="F300" s="233" t="s">
        <v>35</v>
      </c>
      <c r="G300" s="233"/>
      <c r="H300" s="234">
        <v>200</v>
      </c>
      <c r="I300" s="234"/>
      <c r="L300" s="73"/>
      <c r="M300" s="73"/>
    </row>
    <row r="301" spans="1:13" ht="15.75" x14ac:dyDescent="0.25">
      <c r="A301" s="259"/>
      <c r="B301" s="307"/>
      <c r="C301" s="259"/>
      <c r="D301" s="111"/>
      <c r="E301" s="111"/>
      <c r="F301" s="111"/>
      <c r="G301" s="111"/>
      <c r="H301" s="111"/>
      <c r="I301" s="111"/>
      <c r="L301" s="73"/>
      <c r="M301" s="73"/>
    </row>
    <row r="302" spans="1:13" ht="15.75" x14ac:dyDescent="0.25">
      <c r="A302" s="259"/>
      <c r="B302" s="307"/>
      <c r="C302" s="259"/>
      <c r="D302" s="111"/>
      <c r="E302" s="111"/>
      <c r="F302" s="111"/>
      <c r="G302" s="111"/>
      <c r="H302" s="111"/>
      <c r="I302" s="111"/>
      <c r="L302" s="73"/>
      <c r="M302" s="73"/>
    </row>
    <row r="303" spans="1:13" ht="15.75" x14ac:dyDescent="0.25">
      <c r="A303" s="111"/>
      <c r="B303" s="320"/>
      <c r="C303" s="259" t="s">
        <v>89</v>
      </c>
      <c r="D303" s="111">
        <v>200</v>
      </c>
      <c r="E303" s="111"/>
      <c r="F303" s="232" t="s">
        <v>331</v>
      </c>
      <c r="G303" s="232"/>
      <c r="H303" s="232" t="s">
        <v>332</v>
      </c>
      <c r="I303" s="232"/>
      <c r="K303" s="335">
        <f>K304+K305</f>
        <v>1.5899999999999999</v>
      </c>
      <c r="L303" s="73"/>
      <c r="M303" s="73"/>
    </row>
    <row r="304" spans="1:13" ht="15.75" x14ac:dyDescent="0.25">
      <c r="A304" s="111"/>
      <c r="B304" s="320"/>
      <c r="C304" s="259"/>
      <c r="D304" s="111"/>
      <c r="E304" s="265" t="s">
        <v>275</v>
      </c>
      <c r="F304" s="84">
        <v>0.6</v>
      </c>
      <c r="G304" s="84"/>
      <c r="H304" s="256">
        <v>0.6</v>
      </c>
      <c r="I304" s="256"/>
      <c r="J304" s="5">
        <v>650</v>
      </c>
      <c r="K304" s="46">
        <f>J304*F304/1000</f>
        <v>0.39</v>
      </c>
      <c r="L304" s="73"/>
      <c r="M304" s="73"/>
    </row>
    <row r="305" spans="1:13" ht="15.75" x14ac:dyDescent="0.25">
      <c r="A305" s="111"/>
      <c r="B305" s="320"/>
      <c r="C305" s="259"/>
      <c r="D305" s="111"/>
      <c r="E305" s="97" t="s">
        <v>162</v>
      </c>
      <c r="F305" s="84">
        <v>15</v>
      </c>
      <c r="G305" s="84"/>
      <c r="H305" s="256">
        <v>15</v>
      </c>
      <c r="I305" s="256"/>
      <c r="J305" s="5">
        <v>80</v>
      </c>
      <c r="K305" s="46">
        <f>J305*F305/1000</f>
        <v>1.2</v>
      </c>
      <c r="L305" s="73"/>
      <c r="M305" s="73"/>
    </row>
    <row r="306" spans="1:13" ht="15.75" x14ac:dyDescent="0.25">
      <c r="A306" s="111"/>
      <c r="B306" s="320"/>
      <c r="C306" s="259"/>
      <c r="D306" s="111"/>
      <c r="E306" s="76" t="s">
        <v>112</v>
      </c>
      <c r="F306" s="12" t="s">
        <v>35</v>
      </c>
      <c r="G306" s="12"/>
      <c r="H306" s="234">
        <v>200</v>
      </c>
      <c r="I306" s="234"/>
      <c r="L306" s="73"/>
      <c r="M306" s="73"/>
    </row>
    <row r="307" spans="1:13" ht="15.75" x14ac:dyDescent="0.25">
      <c r="A307" s="259"/>
      <c r="B307" s="307"/>
      <c r="C307" s="259"/>
      <c r="D307" s="111"/>
      <c r="E307" s="111"/>
      <c r="F307" s="111"/>
      <c r="G307" s="111"/>
      <c r="H307" s="111"/>
      <c r="I307" s="111"/>
      <c r="L307" s="73"/>
      <c r="M307" s="73"/>
    </row>
    <row r="308" spans="1:13" ht="15.75" x14ac:dyDescent="0.25">
      <c r="A308" s="310"/>
      <c r="B308" s="324"/>
      <c r="C308" s="311" t="s">
        <v>364</v>
      </c>
      <c r="D308" s="310">
        <v>40</v>
      </c>
      <c r="E308" s="310"/>
      <c r="F308" s="310"/>
      <c r="G308" s="310"/>
      <c r="H308" s="310"/>
      <c r="I308" s="310"/>
      <c r="J308" s="10">
        <v>65.5</v>
      </c>
      <c r="K308" s="339">
        <f>D308*J308/1000</f>
        <v>2.62</v>
      </c>
      <c r="L308" s="248"/>
      <c r="M308" s="248"/>
    </row>
    <row r="309" spans="1:13" s="312" customFormat="1" x14ac:dyDescent="0.25">
      <c r="B309" s="325"/>
      <c r="D309" s="313"/>
      <c r="K309" s="325"/>
    </row>
    <row r="310" spans="1:13" s="312" customFormat="1" x14ac:dyDescent="0.25">
      <c r="B310" s="325"/>
      <c r="D310" s="313"/>
      <c r="K310" s="325"/>
    </row>
    <row r="311" spans="1:13" s="312" customFormat="1" x14ac:dyDescent="0.25">
      <c r="B311" s="325"/>
      <c r="D311" s="313"/>
      <c r="K311" s="325"/>
    </row>
    <row r="312" spans="1:13" s="312" customFormat="1" x14ac:dyDescent="0.25">
      <c r="B312" s="325"/>
      <c r="D312" s="313"/>
      <c r="K312" s="325"/>
    </row>
    <row r="313" spans="1:13" s="312" customFormat="1" x14ac:dyDescent="0.25">
      <c r="B313" s="325"/>
      <c r="D313" s="313"/>
      <c r="K313" s="325"/>
    </row>
    <row r="314" spans="1:13" s="312" customFormat="1" x14ac:dyDescent="0.25">
      <c r="B314" s="325"/>
      <c r="D314" s="313"/>
      <c r="K314" s="325"/>
    </row>
    <row r="315" spans="1:13" s="312" customFormat="1" x14ac:dyDescent="0.25">
      <c r="B315" s="325"/>
      <c r="D315" s="313"/>
      <c r="K315" s="325"/>
    </row>
    <row r="316" spans="1:13" s="312" customFormat="1" x14ac:dyDescent="0.25">
      <c r="B316" s="325"/>
      <c r="D316" s="313"/>
      <c r="K316" s="325"/>
    </row>
    <row r="317" spans="1:13" s="312" customFormat="1" x14ac:dyDescent="0.25">
      <c r="B317" s="325"/>
      <c r="D317" s="313"/>
      <c r="K317" s="325"/>
    </row>
    <row r="318" spans="1:13" s="312" customFormat="1" x14ac:dyDescent="0.25">
      <c r="B318" s="325"/>
      <c r="D318" s="313"/>
      <c r="K318" s="325"/>
    </row>
    <row r="319" spans="1:13" s="312" customFormat="1" x14ac:dyDescent="0.25">
      <c r="B319" s="325"/>
      <c r="D319" s="313"/>
      <c r="K319" s="325"/>
    </row>
    <row r="320" spans="1:13" s="312" customFormat="1" x14ac:dyDescent="0.25">
      <c r="B320" s="325"/>
      <c r="D320" s="313"/>
      <c r="K320" s="325"/>
    </row>
    <row r="321" spans="2:11" s="312" customFormat="1" x14ac:dyDescent="0.25">
      <c r="B321" s="325"/>
      <c r="D321" s="313"/>
      <c r="K321" s="325"/>
    </row>
    <row r="322" spans="2:11" s="312" customFormat="1" x14ac:dyDescent="0.25">
      <c r="B322" s="325"/>
      <c r="D322" s="313"/>
      <c r="K322" s="325"/>
    </row>
    <row r="323" spans="2:11" s="312" customFormat="1" x14ac:dyDescent="0.25">
      <c r="B323" s="325"/>
      <c r="D323" s="313"/>
      <c r="K323" s="325"/>
    </row>
    <row r="324" spans="2:11" s="312" customFormat="1" x14ac:dyDescent="0.25">
      <c r="B324" s="325"/>
      <c r="D324" s="313"/>
      <c r="K324" s="325"/>
    </row>
    <row r="325" spans="2:11" s="312" customFormat="1" x14ac:dyDescent="0.25">
      <c r="B325" s="325"/>
      <c r="D325" s="313"/>
      <c r="K325" s="325"/>
    </row>
    <row r="326" spans="2:11" s="312" customFormat="1" x14ac:dyDescent="0.25">
      <c r="B326" s="325"/>
      <c r="D326" s="313"/>
      <c r="K326" s="325"/>
    </row>
    <row r="327" spans="2:11" s="312" customFormat="1" x14ac:dyDescent="0.25">
      <c r="B327" s="325"/>
      <c r="D327" s="313"/>
      <c r="K327" s="325"/>
    </row>
    <row r="328" spans="2:11" s="312" customFormat="1" x14ac:dyDescent="0.25">
      <c r="B328" s="325"/>
      <c r="D328" s="313"/>
      <c r="K328" s="325"/>
    </row>
    <row r="329" spans="2:11" s="312" customFormat="1" x14ac:dyDescent="0.25">
      <c r="B329" s="325"/>
      <c r="D329" s="313"/>
      <c r="K329" s="325"/>
    </row>
    <row r="330" spans="2:11" s="312" customFormat="1" x14ac:dyDescent="0.25">
      <c r="B330" s="325"/>
      <c r="D330" s="313"/>
      <c r="K330" s="325"/>
    </row>
    <row r="331" spans="2:11" s="312" customFormat="1" x14ac:dyDescent="0.25">
      <c r="B331" s="325"/>
      <c r="D331" s="313"/>
      <c r="K331" s="325"/>
    </row>
    <row r="332" spans="2:11" s="312" customFormat="1" x14ac:dyDescent="0.25">
      <c r="B332" s="325"/>
      <c r="D332" s="313"/>
      <c r="K332" s="325"/>
    </row>
    <row r="333" spans="2:11" s="312" customFormat="1" x14ac:dyDescent="0.25">
      <c r="B333" s="325"/>
      <c r="D333" s="313"/>
      <c r="K333" s="325"/>
    </row>
    <row r="334" spans="2:11" s="312" customFormat="1" x14ac:dyDescent="0.25">
      <c r="B334" s="325"/>
      <c r="D334" s="313"/>
      <c r="K334" s="325"/>
    </row>
    <row r="335" spans="2:11" s="312" customFormat="1" x14ac:dyDescent="0.25">
      <c r="B335" s="325"/>
      <c r="D335" s="313"/>
      <c r="K335" s="325"/>
    </row>
    <row r="336" spans="2:11" s="312" customFormat="1" x14ac:dyDescent="0.25">
      <c r="B336" s="325"/>
      <c r="D336" s="313"/>
      <c r="K336" s="325"/>
    </row>
    <row r="337" spans="2:11" s="312" customFormat="1" x14ac:dyDescent="0.25">
      <c r="B337" s="325"/>
      <c r="D337" s="313"/>
      <c r="K337" s="325"/>
    </row>
    <row r="338" spans="2:11" s="312" customFormat="1" x14ac:dyDescent="0.25">
      <c r="B338" s="325"/>
      <c r="D338" s="313"/>
      <c r="K338" s="325"/>
    </row>
    <row r="339" spans="2:11" s="312" customFormat="1" x14ac:dyDescent="0.25">
      <c r="B339" s="325"/>
      <c r="D339" s="313"/>
      <c r="K339" s="325"/>
    </row>
    <row r="340" spans="2:11" s="312" customFormat="1" x14ac:dyDescent="0.25">
      <c r="B340" s="325"/>
      <c r="D340" s="313"/>
      <c r="K340" s="325"/>
    </row>
    <row r="341" spans="2:11" s="312" customFormat="1" x14ac:dyDescent="0.25">
      <c r="B341" s="325"/>
      <c r="D341" s="313"/>
      <c r="K341" s="325"/>
    </row>
    <row r="342" spans="2:11" s="312" customFormat="1" x14ac:dyDescent="0.25">
      <c r="B342" s="325"/>
      <c r="D342" s="313"/>
      <c r="K342" s="325"/>
    </row>
    <row r="343" spans="2:11" s="312" customFormat="1" x14ac:dyDescent="0.25">
      <c r="B343" s="325"/>
      <c r="D343" s="313"/>
      <c r="K343" s="325"/>
    </row>
    <row r="344" spans="2:11" s="312" customFormat="1" x14ac:dyDescent="0.25">
      <c r="B344" s="325"/>
      <c r="D344" s="313"/>
      <c r="K344" s="325"/>
    </row>
    <row r="345" spans="2:11" s="312" customFormat="1" x14ac:dyDescent="0.25">
      <c r="B345" s="325"/>
      <c r="D345" s="313"/>
      <c r="K345" s="325"/>
    </row>
    <row r="346" spans="2:11" s="312" customFormat="1" x14ac:dyDescent="0.25">
      <c r="B346" s="325"/>
      <c r="D346" s="313"/>
      <c r="K346" s="325"/>
    </row>
    <row r="347" spans="2:11" s="312" customFormat="1" x14ac:dyDescent="0.25">
      <c r="B347" s="325"/>
      <c r="D347" s="313"/>
      <c r="K347" s="325"/>
    </row>
    <row r="348" spans="2:11" s="312" customFormat="1" x14ac:dyDescent="0.25">
      <c r="B348" s="325"/>
      <c r="D348" s="313"/>
      <c r="K348" s="325"/>
    </row>
    <row r="349" spans="2:11" s="312" customFormat="1" x14ac:dyDescent="0.25">
      <c r="B349" s="325"/>
      <c r="D349" s="313"/>
      <c r="K349" s="325"/>
    </row>
    <row r="350" spans="2:11" s="312" customFormat="1" x14ac:dyDescent="0.25">
      <c r="B350" s="325"/>
      <c r="D350" s="313"/>
      <c r="K350" s="325"/>
    </row>
    <row r="351" spans="2:11" s="312" customFormat="1" x14ac:dyDescent="0.25">
      <c r="B351" s="325"/>
      <c r="D351" s="313"/>
      <c r="K351" s="325"/>
    </row>
    <row r="352" spans="2:11" s="312" customFormat="1" x14ac:dyDescent="0.25">
      <c r="B352" s="325"/>
      <c r="D352" s="313"/>
      <c r="K352" s="325"/>
    </row>
    <row r="353" spans="2:11" s="312" customFormat="1" x14ac:dyDescent="0.25">
      <c r="B353" s="325"/>
      <c r="D353" s="313"/>
      <c r="K353" s="325"/>
    </row>
    <row r="354" spans="2:11" s="312" customFormat="1" x14ac:dyDescent="0.25">
      <c r="B354" s="325"/>
      <c r="D354" s="313"/>
      <c r="K354" s="325"/>
    </row>
    <row r="355" spans="2:11" s="312" customFormat="1" x14ac:dyDescent="0.25">
      <c r="B355" s="325"/>
      <c r="D355" s="313"/>
      <c r="K355" s="325"/>
    </row>
    <row r="356" spans="2:11" s="312" customFormat="1" x14ac:dyDescent="0.25">
      <c r="B356" s="325"/>
      <c r="D356" s="313"/>
      <c r="K356" s="325"/>
    </row>
    <row r="357" spans="2:11" s="312" customFormat="1" x14ac:dyDescent="0.25">
      <c r="B357" s="325"/>
      <c r="D357" s="313"/>
      <c r="K357" s="325"/>
    </row>
    <row r="358" spans="2:11" s="312" customFormat="1" x14ac:dyDescent="0.25">
      <c r="B358" s="325"/>
      <c r="D358" s="313"/>
      <c r="K358" s="325"/>
    </row>
    <row r="359" spans="2:11" s="312" customFormat="1" x14ac:dyDescent="0.25">
      <c r="B359" s="325"/>
      <c r="D359" s="313"/>
      <c r="K359" s="325"/>
    </row>
    <row r="360" spans="2:11" s="312" customFormat="1" x14ac:dyDescent="0.25">
      <c r="B360" s="325"/>
      <c r="D360" s="313"/>
      <c r="K360" s="325"/>
    </row>
    <row r="361" spans="2:11" s="312" customFormat="1" x14ac:dyDescent="0.25">
      <c r="B361" s="325"/>
      <c r="D361" s="313"/>
      <c r="K361" s="325"/>
    </row>
    <row r="362" spans="2:11" s="312" customFormat="1" x14ac:dyDescent="0.25">
      <c r="B362" s="325"/>
      <c r="D362" s="313"/>
      <c r="K362" s="325"/>
    </row>
    <row r="363" spans="2:11" s="312" customFormat="1" x14ac:dyDescent="0.25">
      <c r="B363" s="325"/>
      <c r="D363" s="313"/>
      <c r="K363" s="325"/>
    </row>
    <row r="364" spans="2:11" s="312" customFormat="1" x14ac:dyDescent="0.25">
      <c r="B364" s="325"/>
      <c r="D364" s="313"/>
      <c r="K364" s="325"/>
    </row>
    <row r="365" spans="2:11" s="312" customFormat="1" x14ac:dyDescent="0.25">
      <c r="B365" s="325"/>
      <c r="D365" s="313"/>
      <c r="K365" s="325"/>
    </row>
    <row r="366" spans="2:11" s="312" customFormat="1" x14ac:dyDescent="0.25">
      <c r="B366" s="325"/>
      <c r="D366" s="313"/>
      <c r="K366" s="325"/>
    </row>
    <row r="367" spans="2:11" s="312" customFormat="1" x14ac:dyDescent="0.25">
      <c r="B367" s="325"/>
      <c r="D367" s="313"/>
      <c r="K367" s="325"/>
    </row>
    <row r="368" spans="2:11" s="312" customFormat="1" x14ac:dyDescent="0.25">
      <c r="B368" s="325"/>
      <c r="D368" s="313"/>
      <c r="K368" s="325"/>
    </row>
    <row r="369" spans="2:11" s="312" customFormat="1" x14ac:dyDescent="0.25">
      <c r="B369" s="325"/>
      <c r="D369" s="313"/>
      <c r="K369" s="325"/>
    </row>
    <row r="370" spans="2:11" s="312" customFormat="1" x14ac:dyDescent="0.25">
      <c r="B370" s="325"/>
      <c r="D370" s="313"/>
      <c r="K370" s="325"/>
    </row>
    <row r="371" spans="2:11" s="312" customFormat="1" x14ac:dyDescent="0.25">
      <c r="B371" s="325"/>
      <c r="D371" s="313"/>
      <c r="K371" s="325"/>
    </row>
    <row r="372" spans="2:11" s="312" customFormat="1" x14ac:dyDescent="0.25">
      <c r="B372" s="325"/>
      <c r="D372" s="313"/>
      <c r="K372" s="325"/>
    </row>
    <row r="373" spans="2:11" s="312" customFormat="1" x14ac:dyDescent="0.25">
      <c r="B373" s="325"/>
      <c r="D373" s="313"/>
      <c r="K373" s="325"/>
    </row>
    <row r="374" spans="2:11" s="312" customFormat="1" x14ac:dyDescent="0.25">
      <c r="B374" s="325"/>
      <c r="D374" s="313"/>
      <c r="K374" s="325"/>
    </row>
    <row r="375" spans="2:11" s="312" customFormat="1" x14ac:dyDescent="0.25">
      <c r="B375" s="325"/>
      <c r="D375" s="313"/>
      <c r="K375" s="325"/>
    </row>
    <row r="376" spans="2:11" s="312" customFormat="1" x14ac:dyDescent="0.25">
      <c r="B376" s="325"/>
      <c r="D376" s="313"/>
      <c r="K376" s="325"/>
    </row>
    <row r="377" spans="2:11" s="312" customFormat="1" x14ac:dyDescent="0.25">
      <c r="B377" s="325"/>
      <c r="D377" s="313"/>
      <c r="K377" s="325"/>
    </row>
    <row r="378" spans="2:11" s="312" customFormat="1" x14ac:dyDescent="0.25">
      <c r="B378" s="325"/>
      <c r="D378" s="313"/>
      <c r="K378" s="325"/>
    </row>
    <row r="379" spans="2:11" s="312" customFormat="1" x14ac:dyDescent="0.25">
      <c r="B379" s="325"/>
      <c r="D379" s="313"/>
      <c r="K379" s="325"/>
    </row>
    <row r="380" spans="2:11" s="312" customFormat="1" x14ac:dyDescent="0.25">
      <c r="B380" s="325"/>
      <c r="D380" s="313"/>
      <c r="K380" s="325"/>
    </row>
    <row r="381" spans="2:11" s="312" customFormat="1" x14ac:dyDescent="0.25">
      <c r="B381" s="325"/>
      <c r="D381" s="313"/>
      <c r="K381" s="325"/>
    </row>
    <row r="382" spans="2:11" s="312" customFormat="1" x14ac:dyDescent="0.25">
      <c r="B382" s="325"/>
      <c r="D382" s="313"/>
      <c r="K382" s="325"/>
    </row>
    <row r="383" spans="2:11" s="312" customFormat="1" x14ac:dyDescent="0.25">
      <c r="B383" s="325"/>
      <c r="D383" s="313"/>
      <c r="K383" s="325"/>
    </row>
    <row r="384" spans="2:11" s="312" customFormat="1" x14ac:dyDescent="0.25">
      <c r="B384" s="325"/>
      <c r="D384" s="313"/>
      <c r="K384" s="325"/>
    </row>
    <row r="385" spans="2:11" s="312" customFormat="1" x14ac:dyDescent="0.25">
      <c r="B385" s="325"/>
      <c r="D385" s="313"/>
      <c r="K385" s="325"/>
    </row>
    <row r="386" spans="2:11" s="312" customFormat="1" x14ac:dyDescent="0.25">
      <c r="B386" s="325"/>
      <c r="D386" s="313"/>
      <c r="K386" s="325"/>
    </row>
    <row r="387" spans="2:11" s="312" customFormat="1" x14ac:dyDescent="0.25">
      <c r="B387" s="325"/>
      <c r="D387" s="313"/>
      <c r="K387" s="325"/>
    </row>
    <row r="388" spans="2:11" s="312" customFormat="1" x14ac:dyDescent="0.25">
      <c r="B388" s="325"/>
      <c r="D388" s="313"/>
      <c r="K388" s="325"/>
    </row>
    <row r="389" spans="2:11" s="312" customFormat="1" x14ac:dyDescent="0.25">
      <c r="B389" s="325"/>
      <c r="D389" s="313"/>
      <c r="K389" s="325"/>
    </row>
    <row r="390" spans="2:11" s="312" customFormat="1" x14ac:dyDescent="0.25">
      <c r="B390" s="325"/>
      <c r="D390" s="313"/>
      <c r="K390" s="325"/>
    </row>
    <row r="391" spans="2:11" s="312" customFormat="1" x14ac:dyDescent="0.25">
      <c r="B391" s="325"/>
      <c r="D391" s="313"/>
      <c r="K391" s="325"/>
    </row>
    <row r="392" spans="2:11" s="312" customFormat="1" x14ac:dyDescent="0.25">
      <c r="B392" s="325"/>
      <c r="D392" s="313"/>
      <c r="K392" s="325"/>
    </row>
    <row r="393" spans="2:11" s="312" customFormat="1" x14ac:dyDescent="0.25">
      <c r="B393" s="325"/>
      <c r="D393" s="313"/>
      <c r="K393" s="325"/>
    </row>
    <row r="394" spans="2:11" s="312" customFormat="1" x14ac:dyDescent="0.25">
      <c r="B394" s="325"/>
      <c r="D394" s="313"/>
      <c r="K394" s="325"/>
    </row>
    <row r="395" spans="2:11" s="312" customFormat="1" x14ac:dyDescent="0.25">
      <c r="B395" s="325"/>
      <c r="D395" s="313"/>
      <c r="K395" s="325"/>
    </row>
    <row r="396" spans="2:11" s="312" customFormat="1" x14ac:dyDescent="0.25">
      <c r="B396" s="325"/>
      <c r="D396" s="313"/>
      <c r="K396" s="325"/>
    </row>
    <row r="397" spans="2:11" s="312" customFormat="1" x14ac:dyDescent="0.25">
      <c r="B397" s="325"/>
      <c r="D397" s="313"/>
      <c r="K397" s="325"/>
    </row>
    <row r="398" spans="2:11" s="312" customFormat="1" x14ac:dyDescent="0.25">
      <c r="B398" s="325"/>
      <c r="D398" s="313"/>
      <c r="K398" s="325"/>
    </row>
    <row r="399" spans="2:11" s="312" customFormat="1" x14ac:dyDescent="0.25">
      <c r="B399" s="325"/>
      <c r="D399" s="313"/>
      <c r="K399" s="325"/>
    </row>
    <row r="400" spans="2:11" s="312" customFormat="1" x14ac:dyDescent="0.25">
      <c r="B400" s="325"/>
      <c r="D400" s="313"/>
      <c r="K400" s="325"/>
    </row>
    <row r="401" spans="2:11" s="312" customFormat="1" x14ac:dyDescent="0.25">
      <c r="B401" s="325"/>
      <c r="D401" s="313"/>
      <c r="K401" s="325"/>
    </row>
    <row r="402" spans="2:11" s="312" customFormat="1" x14ac:dyDescent="0.25">
      <c r="B402" s="325"/>
      <c r="D402" s="313"/>
      <c r="K402" s="325"/>
    </row>
    <row r="403" spans="2:11" s="312" customFormat="1" x14ac:dyDescent="0.25">
      <c r="B403" s="325"/>
      <c r="D403" s="313"/>
      <c r="K403" s="325"/>
    </row>
    <row r="404" spans="2:11" s="312" customFormat="1" x14ac:dyDescent="0.25">
      <c r="B404" s="325"/>
      <c r="D404" s="313"/>
      <c r="K404" s="325"/>
    </row>
    <row r="405" spans="2:11" s="312" customFormat="1" x14ac:dyDescent="0.25">
      <c r="B405" s="325"/>
      <c r="D405" s="313"/>
      <c r="K405" s="325"/>
    </row>
    <row r="406" spans="2:11" s="312" customFormat="1" x14ac:dyDescent="0.25">
      <c r="B406" s="325"/>
      <c r="D406" s="313"/>
      <c r="K406" s="325"/>
    </row>
    <row r="407" spans="2:11" s="312" customFormat="1" x14ac:dyDescent="0.25">
      <c r="B407" s="325"/>
      <c r="D407" s="313"/>
      <c r="K407" s="325"/>
    </row>
    <row r="408" spans="2:11" s="312" customFormat="1" x14ac:dyDescent="0.25">
      <c r="B408" s="325"/>
      <c r="D408" s="313"/>
      <c r="K408" s="325"/>
    </row>
    <row r="409" spans="2:11" s="312" customFormat="1" x14ac:dyDescent="0.25">
      <c r="B409" s="325"/>
      <c r="D409" s="313"/>
      <c r="K409" s="325"/>
    </row>
    <row r="410" spans="2:11" s="312" customFormat="1" x14ac:dyDescent="0.25">
      <c r="B410" s="325"/>
      <c r="D410" s="313"/>
      <c r="K410" s="325"/>
    </row>
    <row r="411" spans="2:11" s="312" customFormat="1" x14ac:dyDescent="0.25">
      <c r="B411" s="325"/>
      <c r="D411" s="313"/>
      <c r="K411" s="325"/>
    </row>
    <row r="412" spans="2:11" s="312" customFormat="1" x14ac:dyDescent="0.25">
      <c r="B412" s="325"/>
      <c r="D412" s="313"/>
      <c r="K412" s="325"/>
    </row>
    <row r="413" spans="2:11" s="312" customFormat="1" x14ac:dyDescent="0.25">
      <c r="B413" s="325"/>
      <c r="D413" s="313"/>
      <c r="K413" s="325"/>
    </row>
    <row r="414" spans="2:11" s="312" customFormat="1" x14ac:dyDescent="0.25">
      <c r="B414" s="325"/>
      <c r="D414" s="313"/>
      <c r="K414" s="325"/>
    </row>
    <row r="415" spans="2:11" s="312" customFormat="1" x14ac:dyDescent="0.25">
      <c r="B415" s="325"/>
      <c r="D415" s="313"/>
      <c r="K415" s="325"/>
    </row>
    <row r="416" spans="2:11" s="312" customFormat="1" x14ac:dyDescent="0.25">
      <c r="B416" s="325"/>
      <c r="D416" s="313"/>
      <c r="K416" s="325"/>
    </row>
    <row r="417" spans="2:11" s="312" customFormat="1" x14ac:dyDescent="0.25">
      <c r="B417" s="325"/>
      <c r="D417" s="313"/>
      <c r="K417" s="325"/>
    </row>
    <row r="418" spans="2:11" s="312" customFormat="1" x14ac:dyDescent="0.25">
      <c r="B418" s="325"/>
      <c r="D418" s="313"/>
      <c r="K418" s="325"/>
    </row>
    <row r="419" spans="2:11" s="312" customFormat="1" x14ac:dyDescent="0.25">
      <c r="B419" s="325"/>
      <c r="D419" s="313"/>
      <c r="K419" s="325"/>
    </row>
    <row r="420" spans="2:11" s="312" customFormat="1" x14ac:dyDescent="0.25">
      <c r="B420" s="325"/>
      <c r="D420" s="313"/>
      <c r="K420" s="325"/>
    </row>
    <row r="421" spans="2:11" s="312" customFormat="1" x14ac:dyDescent="0.25">
      <c r="B421" s="325"/>
      <c r="D421" s="313"/>
      <c r="K421" s="325"/>
    </row>
    <row r="422" spans="2:11" s="312" customFormat="1" x14ac:dyDescent="0.25">
      <c r="B422" s="325"/>
      <c r="D422" s="313"/>
      <c r="K422" s="325"/>
    </row>
    <row r="423" spans="2:11" s="312" customFormat="1" x14ac:dyDescent="0.25">
      <c r="B423" s="325"/>
      <c r="D423" s="313"/>
      <c r="K423" s="325"/>
    </row>
    <row r="424" spans="2:11" s="312" customFormat="1" x14ac:dyDescent="0.25">
      <c r="B424" s="325"/>
      <c r="D424" s="313"/>
      <c r="K424" s="325"/>
    </row>
    <row r="425" spans="2:11" s="312" customFormat="1" x14ac:dyDescent="0.25">
      <c r="B425" s="325"/>
      <c r="D425" s="313"/>
      <c r="K425" s="325"/>
    </row>
    <row r="426" spans="2:11" s="312" customFormat="1" x14ac:dyDescent="0.25">
      <c r="B426" s="325"/>
      <c r="D426" s="313"/>
      <c r="K426" s="325"/>
    </row>
    <row r="427" spans="2:11" s="312" customFormat="1" x14ac:dyDescent="0.25">
      <c r="B427" s="325"/>
      <c r="D427" s="313"/>
      <c r="K427" s="325"/>
    </row>
    <row r="428" spans="2:11" s="312" customFormat="1" x14ac:dyDescent="0.25">
      <c r="B428" s="325"/>
      <c r="D428" s="313"/>
      <c r="K428" s="325"/>
    </row>
    <row r="429" spans="2:11" s="312" customFormat="1" x14ac:dyDescent="0.25">
      <c r="B429" s="325"/>
      <c r="D429" s="313"/>
      <c r="K429" s="325"/>
    </row>
    <row r="430" spans="2:11" s="312" customFormat="1" x14ac:dyDescent="0.25">
      <c r="B430" s="325"/>
      <c r="D430" s="313"/>
      <c r="K430" s="325"/>
    </row>
    <row r="431" spans="2:11" s="312" customFormat="1" x14ac:dyDescent="0.25">
      <c r="B431" s="325"/>
      <c r="D431" s="313"/>
      <c r="K431" s="325"/>
    </row>
    <row r="432" spans="2:11" s="312" customFormat="1" x14ac:dyDescent="0.25">
      <c r="B432" s="325"/>
      <c r="D432" s="313"/>
      <c r="K432" s="325"/>
    </row>
    <row r="433" spans="2:11" s="312" customFormat="1" x14ac:dyDescent="0.25">
      <c r="B433" s="325"/>
      <c r="D433" s="313"/>
      <c r="K433" s="325"/>
    </row>
    <row r="434" spans="2:11" s="312" customFormat="1" x14ac:dyDescent="0.25">
      <c r="B434" s="325"/>
      <c r="D434" s="313"/>
      <c r="K434" s="325"/>
    </row>
    <row r="435" spans="2:11" s="312" customFormat="1" x14ac:dyDescent="0.25">
      <c r="B435" s="325"/>
      <c r="D435" s="313"/>
      <c r="K435" s="325"/>
    </row>
    <row r="436" spans="2:11" s="312" customFormat="1" x14ac:dyDescent="0.25">
      <c r="B436" s="325"/>
      <c r="D436" s="313"/>
      <c r="K436" s="325"/>
    </row>
    <row r="437" spans="2:11" s="312" customFormat="1" x14ac:dyDescent="0.25">
      <c r="B437" s="325"/>
      <c r="D437" s="313"/>
      <c r="K437" s="325"/>
    </row>
    <row r="438" spans="2:11" s="312" customFormat="1" x14ac:dyDescent="0.25">
      <c r="B438" s="325"/>
      <c r="D438" s="313"/>
      <c r="K438" s="325"/>
    </row>
    <row r="439" spans="2:11" s="312" customFormat="1" x14ac:dyDescent="0.25">
      <c r="B439" s="325"/>
      <c r="D439" s="313"/>
      <c r="K439" s="325"/>
    </row>
    <row r="440" spans="2:11" s="312" customFormat="1" x14ac:dyDescent="0.25">
      <c r="B440" s="325"/>
      <c r="D440" s="313"/>
      <c r="K440" s="325"/>
    </row>
    <row r="441" spans="2:11" s="312" customFormat="1" x14ac:dyDescent="0.25">
      <c r="B441" s="325"/>
      <c r="D441" s="313"/>
      <c r="K441" s="325"/>
    </row>
    <row r="442" spans="2:11" s="312" customFormat="1" x14ac:dyDescent="0.25">
      <c r="B442" s="325"/>
      <c r="D442" s="313"/>
      <c r="K442" s="325"/>
    </row>
    <row r="443" spans="2:11" s="312" customFormat="1" x14ac:dyDescent="0.25">
      <c r="B443" s="325"/>
      <c r="D443" s="313"/>
      <c r="K443" s="325"/>
    </row>
    <row r="444" spans="2:11" s="312" customFormat="1" x14ac:dyDescent="0.25">
      <c r="B444" s="325"/>
      <c r="D444" s="313"/>
      <c r="K444" s="325"/>
    </row>
    <row r="445" spans="2:11" s="312" customFormat="1" x14ac:dyDescent="0.25">
      <c r="B445" s="325"/>
      <c r="D445" s="313"/>
      <c r="K445" s="325"/>
    </row>
    <row r="446" spans="2:11" s="312" customFormat="1" x14ac:dyDescent="0.25">
      <c r="B446" s="325"/>
      <c r="D446" s="313"/>
      <c r="K446" s="325"/>
    </row>
    <row r="447" spans="2:11" s="312" customFormat="1" x14ac:dyDescent="0.25">
      <c r="B447" s="325"/>
      <c r="D447" s="313"/>
      <c r="K447" s="325"/>
    </row>
    <row r="448" spans="2:11" s="312" customFormat="1" x14ac:dyDescent="0.25">
      <c r="B448" s="325"/>
      <c r="D448" s="313"/>
      <c r="K448" s="325"/>
    </row>
    <row r="449" spans="2:11" s="312" customFormat="1" x14ac:dyDescent="0.25">
      <c r="B449" s="325"/>
      <c r="D449" s="313"/>
      <c r="K449" s="325"/>
    </row>
    <row r="450" spans="2:11" s="312" customFormat="1" x14ac:dyDescent="0.25">
      <c r="B450" s="325"/>
      <c r="D450" s="313"/>
      <c r="K450" s="325"/>
    </row>
    <row r="451" spans="2:11" s="312" customFormat="1" x14ac:dyDescent="0.25">
      <c r="B451" s="325"/>
      <c r="D451" s="313"/>
      <c r="K451" s="325"/>
    </row>
    <row r="452" spans="2:11" s="312" customFormat="1" x14ac:dyDescent="0.25">
      <c r="B452" s="325"/>
      <c r="D452" s="313"/>
      <c r="K452" s="325"/>
    </row>
    <row r="453" spans="2:11" s="312" customFormat="1" x14ac:dyDescent="0.25">
      <c r="B453" s="325"/>
      <c r="D453" s="313"/>
      <c r="K453" s="325"/>
    </row>
    <row r="454" spans="2:11" s="312" customFormat="1" x14ac:dyDescent="0.25">
      <c r="B454" s="325"/>
      <c r="D454" s="313"/>
      <c r="K454" s="325"/>
    </row>
    <row r="455" spans="2:11" s="312" customFormat="1" x14ac:dyDescent="0.25">
      <c r="B455" s="325"/>
      <c r="D455" s="313"/>
      <c r="K455" s="325"/>
    </row>
    <row r="456" spans="2:11" s="312" customFormat="1" x14ac:dyDescent="0.25">
      <c r="B456" s="325"/>
      <c r="D456" s="313"/>
      <c r="K456" s="325"/>
    </row>
    <row r="457" spans="2:11" s="312" customFormat="1" x14ac:dyDescent="0.25">
      <c r="B457" s="325"/>
      <c r="D457" s="313"/>
      <c r="K457" s="325"/>
    </row>
    <row r="458" spans="2:11" s="312" customFormat="1" x14ac:dyDescent="0.25">
      <c r="B458" s="325"/>
      <c r="D458" s="313"/>
      <c r="K458" s="325"/>
    </row>
    <row r="459" spans="2:11" s="312" customFormat="1" x14ac:dyDescent="0.25">
      <c r="B459" s="325"/>
      <c r="D459" s="313"/>
      <c r="K459" s="325"/>
    </row>
    <row r="460" spans="2:11" s="312" customFormat="1" x14ac:dyDescent="0.25">
      <c r="B460" s="325"/>
      <c r="D460" s="313"/>
      <c r="K460" s="325"/>
    </row>
    <row r="461" spans="2:11" s="312" customFormat="1" x14ac:dyDescent="0.25">
      <c r="B461" s="325"/>
      <c r="D461" s="313"/>
      <c r="K461" s="325"/>
    </row>
    <row r="462" spans="2:11" s="312" customFormat="1" x14ac:dyDescent="0.25">
      <c r="B462" s="325"/>
      <c r="D462" s="313"/>
      <c r="K462" s="325"/>
    </row>
    <row r="463" spans="2:11" s="312" customFormat="1" x14ac:dyDescent="0.25">
      <c r="B463" s="325"/>
      <c r="D463" s="313"/>
      <c r="K463" s="325"/>
    </row>
    <row r="464" spans="2:11" s="312" customFormat="1" x14ac:dyDescent="0.25">
      <c r="B464" s="325"/>
      <c r="D464" s="313"/>
      <c r="K464" s="325"/>
    </row>
    <row r="465" spans="2:11" s="312" customFormat="1" x14ac:dyDescent="0.25">
      <c r="B465" s="325"/>
      <c r="D465" s="313"/>
      <c r="K465" s="325"/>
    </row>
    <row r="466" spans="2:11" s="312" customFormat="1" x14ac:dyDescent="0.25">
      <c r="B466" s="325"/>
      <c r="D466" s="313"/>
      <c r="K466" s="325"/>
    </row>
    <row r="467" spans="2:11" s="312" customFormat="1" x14ac:dyDescent="0.25">
      <c r="B467" s="325"/>
      <c r="D467" s="313"/>
      <c r="K467" s="325"/>
    </row>
    <row r="468" spans="2:11" s="312" customFormat="1" x14ac:dyDescent="0.25">
      <c r="B468" s="325"/>
      <c r="D468" s="313"/>
      <c r="K468" s="325"/>
    </row>
    <row r="469" spans="2:11" s="312" customFormat="1" x14ac:dyDescent="0.25">
      <c r="B469" s="325"/>
      <c r="D469" s="313"/>
      <c r="K469" s="325"/>
    </row>
    <row r="470" spans="2:11" s="312" customFormat="1" x14ac:dyDescent="0.25">
      <c r="B470" s="325"/>
      <c r="D470" s="313"/>
      <c r="K470" s="325"/>
    </row>
    <row r="471" spans="2:11" s="312" customFormat="1" x14ac:dyDescent="0.25">
      <c r="B471" s="325"/>
      <c r="D471" s="313"/>
      <c r="K471" s="325"/>
    </row>
    <row r="472" spans="2:11" s="312" customFormat="1" x14ac:dyDescent="0.25">
      <c r="B472" s="325"/>
      <c r="D472" s="313"/>
      <c r="K472" s="325"/>
    </row>
    <row r="473" spans="2:11" s="312" customFormat="1" x14ac:dyDescent="0.25">
      <c r="B473" s="325"/>
      <c r="D473" s="313"/>
      <c r="K473" s="325"/>
    </row>
    <row r="474" spans="2:11" s="312" customFormat="1" x14ac:dyDescent="0.25">
      <c r="B474" s="325"/>
      <c r="D474" s="313"/>
      <c r="K474" s="325"/>
    </row>
    <row r="475" spans="2:11" s="312" customFormat="1" x14ac:dyDescent="0.25">
      <c r="B475" s="325"/>
      <c r="D475" s="313"/>
      <c r="K475" s="325"/>
    </row>
    <row r="476" spans="2:11" s="312" customFormat="1" x14ac:dyDescent="0.25">
      <c r="B476" s="325"/>
      <c r="D476" s="313"/>
      <c r="K476" s="325"/>
    </row>
    <row r="477" spans="2:11" s="312" customFormat="1" x14ac:dyDescent="0.25">
      <c r="B477" s="325"/>
      <c r="D477" s="313"/>
      <c r="K477" s="325"/>
    </row>
    <row r="478" spans="2:11" s="312" customFormat="1" x14ac:dyDescent="0.25">
      <c r="B478" s="325"/>
      <c r="D478" s="313"/>
      <c r="K478" s="325"/>
    </row>
    <row r="479" spans="2:11" s="312" customFormat="1" x14ac:dyDescent="0.25">
      <c r="B479" s="325"/>
      <c r="D479" s="313"/>
      <c r="K479" s="325"/>
    </row>
    <row r="480" spans="2:11" s="312" customFormat="1" x14ac:dyDescent="0.25">
      <c r="B480" s="325"/>
      <c r="D480" s="313"/>
      <c r="K480" s="325"/>
    </row>
    <row r="481" spans="2:11" s="312" customFormat="1" x14ac:dyDescent="0.25">
      <c r="B481" s="325"/>
      <c r="D481" s="313"/>
      <c r="K481" s="325"/>
    </row>
    <row r="482" spans="2:11" s="312" customFormat="1" x14ac:dyDescent="0.25">
      <c r="B482" s="325"/>
      <c r="D482" s="313"/>
      <c r="K482" s="325"/>
    </row>
    <row r="483" spans="2:11" s="312" customFormat="1" x14ac:dyDescent="0.25">
      <c r="B483" s="325"/>
      <c r="D483" s="313"/>
      <c r="K483" s="325"/>
    </row>
    <row r="484" spans="2:11" s="312" customFormat="1" x14ac:dyDescent="0.25">
      <c r="B484" s="325"/>
      <c r="D484" s="313"/>
      <c r="K484" s="325"/>
    </row>
    <row r="485" spans="2:11" s="312" customFormat="1" x14ac:dyDescent="0.25">
      <c r="B485" s="325"/>
      <c r="D485" s="313"/>
      <c r="K485" s="325"/>
    </row>
    <row r="486" spans="2:11" s="312" customFormat="1" x14ac:dyDescent="0.25">
      <c r="B486" s="325"/>
      <c r="D486" s="313"/>
      <c r="K486" s="325"/>
    </row>
    <row r="487" spans="2:11" s="312" customFormat="1" x14ac:dyDescent="0.25">
      <c r="B487" s="325"/>
      <c r="D487" s="313"/>
      <c r="K487" s="325"/>
    </row>
    <row r="488" spans="2:11" s="312" customFormat="1" x14ac:dyDescent="0.25">
      <c r="B488" s="325"/>
      <c r="D488" s="313"/>
      <c r="K488" s="325"/>
    </row>
    <row r="489" spans="2:11" s="312" customFormat="1" x14ac:dyDescent="0.25">
      <c r="B489" s="325"/>
      <c r="D489" s="313"/>
      <c r="K489" s="325"/>
    </row>
    <row r="490" spans="2:11" s="312" customFormat="1" x14ac:dyDescent="0.25">
      <c r="B490" s="325"/>
      <c r="D490" s="313"/>
      <c r="K490" s="325"/>
    </row>
    <row r="491" spans="2:11" s="312" customFormat="1" x14ac:dyDescent="0.25">
      <c r="B491" s="325"/>
      <c r="D491" s="313"/>
      <c r="K491" s="325"/>
    </row>
    <row r="492" spans="2:11" s="312" customFormat="1" x14ac:dyDescent="0.25">
      <c r="B492" s="325"/>
      <c r="D492" s="313"/>
      <c r="K492" s="325"/>
    </row>
    <row r="493" spans="2:11" s="312" customFormat="1" x14ac:dyDescent="0.25">
      <c r="B493" s="325"/>
      <c r="D493" s="313"/>
      <c r="K493" s="325"/>
    </row>
    <row r="494" spans="2:11" s="312" customFormat="1" x14ac:dyDescent="0.25">
      <c r="B494" s="325"/>
      <c r="D494" s="313"/>
      <c r="K494" s="325"/>
    </row>
    <row r="495" spans="2:11" s="312" customFormat="1" x14ac:dyDescent="0.25">
      <c r="B495" s="325"/>
      <c r="D495" s="313"/>
      <c r="K495" s="325"/>
    </row>
    <row r="496" spans="2:11" s="312" customFormat="1" x14ac:dyDescent="0.25">
      <c r="B496" s="325"/>
      <c r="D496" s="313"/>
      <c r="K496" s="325"/>
    </row>
    <row r="497" spans="2:11" s="312" customFormat="1" x14ac:dyDescent="0.25">
      <c r="B497" s="325"/>
      <c r="D497" s="313"/>
      <c r="K497" s="325"/>
    </row>
    <row r="498" spans="2:11" s="312" customFormat="1" x14ac:dyDescent="0.25">
      <c r="B498" s="325"/>
      <c r="D498" s="313"/>
      <c r="K498" s="325"/>
    </row>
    <row r="499" spans="2:11" s="312" customFormat="1" x14ac:dyDescent="0.25">
      <c r="B499" s="325"/>
      <c r="D499" s="313"/>
      <c r="K499" s="325"/>
    </row>
    <row r="500" spans="2:11" s="312" customFormat="1" x14ac:dyDescent="0.25">
      <c r="B500" s="325"/>
      <c r="D500" s="313"/>
      <c r="K500" s="325"/>
    </row>
    <row r="501" spans="2:11" s="312" customFormat="1" x14ac:dyDescent="0.25">
      <c r="B501" s="325"/>
      <c r="D501" s="313"/>
      <c r="K501" s="325"/>
    </row>
    <row r="502" spans="2:11" s="312" customFormat="1" x14ac:dyDescent="0.25">
      <c r="B502" s="325"/>
      <c r="D502" s="313"/>
      <c r="K502" s="325"/>
    </row>
    <row r="503" spans="2:11" s="312" customFormat="1" x14ac:dyDescent="0.25">
      <c r="B503" s="325"/>
      <c r="D503" s="313"/>
      <c r="K503" s="325"/>
    </row>
    <row r="504" spans="2:11" s="312" customFormat="1" x14ac:dyDescent="0.25">
      <c r="B504" s="325"/>
      <c r="D504" s="313"/>
      <c r="K504" s="325"/>
    </row>
    <row r="505" spans="2:11" s="312" customFormat="1" x14ac:dyDescent="0.25">
      <c r="B505" s="325"/>
      <c r="D505" s="313"/>
      <c r="K505" s="325"/>
    </row>
    <row r="506" spans="2:11" s="312" customFormat="1" x14ac:dyDescent="0.25">
      <c r="B506" s="325"/>
      <c r="D506" s="313"/>
      <c r="K506" s="325"/>
    </row>
    <row r="507" spans="2:11" s="312" customFormat="1" x14ac:dyDescent="0.25">
      <c r="B507" s="325"/>
      <c r="D507" s="313"/>
      <c r="K507" s="325"/>
    </row>
    <row r="508" spans="2:11" s="312" customFormat="1" x14ac:dyDescent="0.25">
      <c r="B508" s="325"/>
      <c r="D508" s="313"/>
      <c r="K508" s="325"/>
    </row>
    <row r="509" spans="2:11" s="312" customFormat="1" x14ac:dyDescent="0.25">
      <c r="B509" s="325"/>
      <c r="D509" s="313"/>
      <c r="K509" s="325"/>
    </row>
    <row r="510" spans="2:11" s="312" customFormat="1" x14ac:dyDescent="0.25">
      <c r="B510" s="325"/>
      <c r="D510" s="313"/>
      <c r="K510" s="325"/>
    </row>
    <row r="511" spans="2:11" s="312" customFormat="1" x14ac:dyDescent="0.25">
      <c r="B511" s="325"/>
      <c r="D511" s="313"/>
      <c r="K511" s="325"/>
    </row>
    <row r="512" spans="2:11" s="312" customFormat="1" x14ac:dyDescent="0.25">
      <c r="B512" s="325"/>
      <c r="D512" s="313"/>
      <c r="K512" s="325"/>
    </row>
    <row r="513" spans="2:11" s="312" customFormat="1" x14ac:dyDescent="0.25">
      <c r="B513" s="325"/>
      <c r="D513" s="313"/>
      <c r="K513" s="325"/>
    </row>
    <row r="514" spans="2:11" s="312" customFormat="1" x14ac:dyDescent="0.25">
      <c r="B514" s="325"/>
      <c r="D514" s="313"/>
      <c r="K514" s="325"/>
    </row>
    <row r="515" spans="2:11" s="312" customFormat="1" x14ac:dyDescent="0.25">
      <c r="B515" s="325"/>
      <c r="D515" s="313"/>
      <c r="K515" s="325"/>
    </row>
    <row r="516" spans="2:11" s="312" customFormat="1" x14ac:dyDescent="0.25">
      <c r="B516" s="325"/>
      <c r="D516" s="313"/>
      <c r="K516" s="325"/>
    </row>
    <row r="517" spans="2:11" s="312" customFormat="1" x14ac:dyDescent="0.25">
      <c r="B517" s="325"/>
      <c r="D517" s="313"/>
      <c r="K517" s="325"/>
    </row>
    <row r="518" spans="2:11" s="312" customFormat="1" x14ac:dyDescent="0.25">
      <c r="B518" s="325"/>
      <c r="D518" s="313"/>
      <c r="K518" s="325"/>
    </row>
    <row r="519" spans="2:11" s="312" customFormat="1" x14ac:dyDescent="0.25">
      <c r="B519" s="325"/>
      <c r="D519" s="313"/>
      <c r="K519" s="325"/>
    </row>
    <row r="520" spans="2:11" s="312" customFormat="1" x14ac:dyDescent="0.25">
      <c r="B520" s="325"/>
      <c r="D520" s="313"/>
      <c r="K520" s="325"/>
    </row>
    <row r="521" spans="2:11" s="312" customFormat="1" x14ac:dyDescent="0.25">
      <c r="B521" s="325"/>
      <c r="D521" s="313"/>
      <c r="K521" s="325"/>
    </row>
    <row r="522" spans="2:11" s="312" customFormat="1" x14ac:dyDescent="0.25">
      <c r="B522" s="325"/>
      <c r="D522" s="313"/>
      <c r="K522" s="325"/>
    </row>
    <row r="523" spans="2:11" s="312" customFormat="1" x14ac:dyDescent="0.25">
      <c r="B523" s="325"/>
      <c r="D523" s="313"/>
      <c r="K523" s="325"/>
    </row>
    <row r="524" spans="2:11" s="312" customFormat="1" x14ac:dyDescent="0.25">
      <c r="B524" s="325"/>
      <c r="D524" s="313"/>
      <c r="K524" s="325"/>
    </row>
    <row r="525" spans="2:11" s="312" customFormat="1" x14ac:dyDescent="0.25">
      <c r="B525" s="325"/>
      <c r="D525" s="313"/>
      <c r="K525" s="325"/>
    </row>
    <row r="526" spans="2:11" s="312" customFormat="1" x14ac:dyDescent="0.25">
      <c r="B526" s="325"/>
      <c r="D526" s="313"/>
      <c r="K526" s="325"/>
    </row>
    <row r="527" spans="2:11" s="312" customFormat="1" x14ac:dyDescent="0.25">
      <c r="B527" s="325"/>
      <c r="D527" s="313"/>
      <c r="K527" s="325"/>
    </row>
    <row r="528" spans="2:11" s="312" customFormat="1" x14ac:dyDescent="0.25">
      <c r="B528" s="325"/>
      <c r="D528" s="313"/>
      <c r="K528" s="325"/>
    </row>
    <row r="529" spans="2:11" s="312" customFormat="1" x14ac:dyDescent="0.25">
      <c r="B529" s="325"/>
      <c r="D529" s="313"/>
      <c r="K529" s="325"/>
    </row>
    <row r="530" spans="2:11" s="312" customFormat="1" x14ac:dyDescent="0.25">
      <c r="B530" s="325"/>
      <c r="D530" s="313"/>
      <c r="K530" s="325"/>
    </row>
    <row r="531" spans="2:11" s="312" customFormat="1" x14ac:dyDescent="0.25">
      <c r="B531" s="325"/>
      <c r="D531" s="313"/>
      <c r="K531" s="325"/>
    </row>
    <row r="532" spans="2:11" s="312" customFormat="1" x14ac:dyDescent="0.25">
      <c r="B532" s="325"/>
      <c r="D532" s="313"/>
      <c r="K532" s="325"/>
    </row>
    <row r="533" spans="2:11" s="312" customFormat="1" x14ac:dyDescent="0.25">
      <c r="B533" s="325"/>
      <c r="D533" s="313"/>
      <c r="K533" s="325"/>
    </row>
    <row r="534" spans="2:11" s="312" customFormat="1" x14ac:dyDescent="0.25">
      <c r="B534" s="325"/>
      <c r="D534" s="313"/>
      <c r="K534" s="325"/>
    </row>
    <row r="535" spans="2:11" s="312" customFormat="1" x14ac:dyDescent="0.25">
      <c r="B535" s="325"/>
      <c r="D535" s="313"/>
      <c r="K535" s="325"/>
    </row>
    <row r="536" spans="2:11" s="312" customFormat="1" x14ac:dyDescent="0.25">
      <c r="B536" s="325"/>
      <c r="D536" s="313"/>
      <c r="K536" s="325"/>
    </row>
    <row r="537" spans="2:11" s="312" customFormat="1" x14ac:dyDescent="0.25">
      <c r="B537" s="325"/>
      <c r="D537" s="313"/>
      <c r="K537" s="325"/>
    </row>
    <row r="538" spans="2:11" s="312" customFormat="1" x14ac:dyDescent="0.25">
      <c r="B538" s="325"/>
      <c r="D538" s="313"/>
      <c r="K538" s="325"/>
    </row>
    <row r="539" spans="2:11" s="312" customFormat="1" x14ac:dyDescent="0.25">
      <c r="B539" s="325"/>
      <c r="D539" s="313"/>
      <c r="K539" s="325"/>
    </row>
    <row r="540" spans="2:11" s="312" customFormat="1" x14ac:dyDescent="0.25">
      <c r="B540" s="325"/>
      <c r="D540" s="313"/>
      <c r="K540" s="325"/>
    </row>
    <row r="541" spans="2:11" s="312" customFormat="1" x14ac:dyDescent="0.25">
      <c r="B541" s="325"/>
      <c r="D541" s="313"/>
      <c r="K541" s="325"/>
    </row>
    <row r="542" spans="2:11" s="312" customFormat="1" x14ac:dyDescent="0.25">
      <c r="B542" s="325"/>
      <c r="D542" s="313"/>
      <c r="K542" s="325"/>
    </row>
    <row r="543" spans="2:11" s="312" customFormat="1" x14ac:dyDescent="0.25">
      <c r="B543" s="325"/>
      <c r="D543" s="313"/>
      <c r="K543" s="325"/>
    </row>
    <row r="544" spans="2:11" s="312" customFormat="1" x14ac:dyDescent="0.25">
      <c r="B544" s="325"/>
      <c r="D544" s="313"/>
      <c r="K544" s="325"/>
    </row>
    <row r="545" spans="2:11" s="312" customFormat="1" x14ac:dyDescent="0.25">
      <c r="B545" s="325"/>
      <c r="D545" s="313"/>
      <c r="K545" s="325"/>
    </row>
    <row r="546" spans="2:11" s="312" customFormat="1" x14ac:dyDescent="0.25">
      <c r="B546" s="325"/>
      <c r="D546" s="313"/>
      <c r="K546" s="325"/>
    </row>
    <row r="547" spans="2:11" s="312" customFormat="1" x14ac:dyDescent="0.25">
      <c r="B547" s="325"/>
      <c r="D547" s="313"/>
      <c r="K547" s="325"/>
    </row>
    <row r="548" spans="2:11" s="312" customFormat="1" x14ac:dyDescent="0.25">
      <c r="B548" s="325"/>
      <c r="D548" s="313"/>
      <c r="K548" s="325"/>
    </row>
    <row r="549" spans="2:11" s="312" customFormat="1" x14ac:dyDescent="0.25">
      <c r="B549" s="325"/>
      <c r="D549" s="313"/>
      <c r="K549" s="325"/>
    </row>
    <row r="550" spans="2:11" s="312" customFormat="1" x14ac:dyDescent="0.25">
      <c r="B550" s="325"/>
      <c r="D550" s="313"/>
      <c r="K550" s="325"/>
    </row>
    <row r="551" spans="2:11" s="312" customFormat="1" x14ac:dyDescent="0.25">
      <c r="B551" s="325"/>
      <c r="D551" s="313"/>
      <c r="K551" s="325"/>
    </row>
    <row r="552" spans="2:11" s="312" customFormat="1" x14ac:dyDescent="0.25">
      <c r="B552" s="325"/>
      <c r="D552" s="313"/>
      <c r="K552" s="325"/>
    </row>
    <row r="553" spans="2:11" s="312" customFormat="1" x14ac:dyDescent="0.25">
      <c r="B553" s="325"/>
      <c r="D553" s="313"/>
      <c r="K553" s="325"/>
    </row>
    <row r="554" spans="2:11" s="312" customFormat="1" x14ac:dyDescent="0.25">
      <c r="B554" s="325"/>
      <c r="D554" s="313"/>
      <c r="K554" s="325"/>
    </row>
    <row r="555" spans="2:11" s="312" customFormat="1" x14ac:dyDescent="0.25">
      <c r="B555" s="325"/>
      <c r="D555" s="313"/>
      <c r="K555" s="325"/>
    </row>
    <row r="556" spans="2:11" s="312" customFormat="1" x14ac:dyDescent="0.25">
      <c r="B556" s="325"/>
      <c r="D556" s="313"/>
      <c r="K556" s="325"/>
    </row>
    <row r="557" spans="2:11" s="312" customFormat="1" x14ac:dyDescent="0.25">
      <c r="B557" s="325"/>
      <c r="D557" s="313"/>
      <c r="K557" s="325"/>
    </row>
    <row r="558" spans="2:11" s="312" customFormat="1" x14ac:dyDescent="0.25">
      <c r="B558" s="325"/>
      <c r="D558" s="313"/>
      <c r="K558" s="325"/>
    </row>
    <row r="559" spans="2:11" s="312" customFormat="1" x14ac:dyDescent="0.25">
      <c r="B559" s="325"/>
      <c r="D559" s="313"/>
      <c r="K559" s="325"/>
    </row>
    <row r="560" spans="2:11" s="312" customFormat="1" x14ac:dyDescent="0.25">
      <c r="B560" s="325"/>
      <c r="D560" s="313"/>
      <c r="K560" s="325"/>
    </row>
    <row r="561" spans="2:11" s="312" customFormat="1" x14ac:dyDescent="0.25">
      <c r="B561" s="325"/>
      <c r="D561" s="313"/>
      <c r="K561" s="325"/>
    </row>
    <row r="562" spans="2:11" s="312" customFormat="1" x14ac:dyDescent="0.25">
      <c r="B562" s="325"/>
      <c r="D562" s="313"/>
      <c r="K562" s="325"/>
    </row>
    <row r="563" spans="2:11" s="312" customFormat="1" x14ac:dyDescent="0.25">
      <c r="B563" s="325"/>
      <c r="D563" s="313"/>
      <c r="K563" s="325"/>
    </row>
    <row r="564" spans="2:11" s="312" customFormat="1" x14ac:dyDescent="0.25">
      <c r="B564" s="325"/>
      <c r="D564" s="313"/>
      <c r="K564" s="325"/>
    </row>
    <row r="565" spans="2:11" s="312" customFormat="1" x14ac:dyDescent="0.25">
      <c r="B565" s="325"/>
      <c r="D565" s="313"/>
      <c r="K565" s="325"/>
    </row>
    <row r="566" spans="2:11" s="312" customFormat="1" x14ac:dyDescent="0.25">
      <c r="B566" s="325"/>
      <c r="D566" s="313"/>
      <c r="K566" s="325"/>
    </row>
    <row r="567" spans="2:11" s="312" customFormat="1" x14ac:dyDescent="0.25">
      <c r="B567" s="325"/>
      <c r="D567" s="313"/>
      <c r="K567" s="325"/>
    </row>
    <row r="568" spans="2:11" s="312" customFormat="1" x14ac:dyDescent="0.25">
      <c r="B568" s="325"/>
      <c r="D568" s="313"/>
      <c r="K568" s="325"/>
    </row>
    <row r="569" spans="2:11" s="312" customFormat="1" x14ac:dyDescent="0.25">
      <c r="B569" s="325"/>
      <c r="D569" s="313"/>
      <c r="K569" s="325"/>
    </row>
    <row r="570" spans="2:11" s="312" customFormat="1" x14ac:dyDescent="0.25">
      <c r="B570" s="325"/>
      <c r="D570" s="313"/>
      <c r="K570" s="325"/>
    </row>
    <row r="571" spans="2:11" s="312" customFormat="1" x14ac:dyDescent="0.25">
      <c r="B571" s="325"/>
      <c r="D571" s="313"/>
      <c r="K571" s="325"/>
    </row>
    <row r="572" spans="2:11" s="312" customFormat="1" x14ac:dyDescent="0.25">
      <c r="B572" s="325"/>
      <c r="D572" s="313"/>
      <c r="K572" s="325"/>
    </row>
    <row r="573" spans="2:11" s="312" customFormat="1" x14ac:dyDescent="0.25">
      <c r="B573" s="325"/>
      <c r="D573" s="313"/>
      <c r="K573" s="325"/>
    </row>
    <row r="574" spans="2:11" s="312" customFormat="1" x14ac:dyDescent="0.25">
      <c r="B574" s="325"/>
      <c r="D574" s="313"/>
      <c r="K574" s="325"/>
    </row>
    <row r="575" spans="2:11" s="312" customFormat="1" x14ac:dyDescent="0.25">
      <c r="B575" s="325"/>
      <c r="D575" s="313"/>
      <c r="K575" s="325"/>
    </row>
    <row r="576" spans="2:11" s="312" customFormat="1" x14ac:dyDescent="0.25">
      <c r="B576" s="325"/>
      <c r="D576" s="313"/>
      <c r="K576" s="325"/>
    </row>
    <row r="577" spans="2:11" s="312" customFormat="1" x14ac:dyDescent="0.25">
      <c r="B577" s="325"/>
      <c r="D577" s="313"/>
      <c r="K577" s="325"/>
    </row>
    <row r="578" spans="2:11" s="312" customFormat="1" x14ac:dyDescent="0.25">
      <c r="B578" s="325"/>
      <c r="D578" s="313"/>
      <c r="K578" s="325"/>
    </row>
    <row r="579" spans="2:11" s="312" customFormat="1" x14ac:dyDescent="0.25">
      <c r="B579" s="325"/>
      <c r="D579" s="313"/>
      <c r="K579" s="325"/>
    </row>
    <row r="580" spans="2:11" s="312" customFormat="1" x14ac:dyDescent="0.25">
      <c r="B580" s="325"/>
      <c r="D580" s="313"/>
      <c r="K580" s="325"/>
    </row>
    <row r="581" spans="2:11" s="312" customFormat="1" x14ac:dyDescent="0.25">
      <c r="B581" s="325"/>
      <c r="D581" s="313"/>
      <c r="K581" s="325"/>
    </row>
    <row r="582" spans="2:11" s="312" customFormat="1" x14ac:dyDescent="0.25">
      <c r="B582" s="325"/>
      <c r="D582" s="313"/>
      <c r="K582" s="325"/>
    </row>
    <row r="583" spans="2:11" s="312" customFormat="1" x14ac:dyDescent="0.25">
      <c r="B583" s="325"/>
      <c r="D583" s="313"/>
      <c r="K583" s="325"/>
    </row>
    <row r="584" spans="2:11" s="312" customFormat="1" x14ac:dyDescent="0.25">
      <c r="B584" s="325"/>
      <c r="D584" s="313"/>
      <c r="K584" s="325"/>
    </row>
    <row r="585" spans="2:11" s="312" customFormat="1" x14ac:dyDescent="0.25">
      <c r="B585" s="325"/>
      <c r="D585" s="313"/>
      <c r="K585" s="325"/>
    </row>
    <row r="586" spans="2:11" s="312" customFormat="1" x14ac:dyDescent="0.25">
      <c r="B586" s="325"/>
      <c r="D586" s="313"/>
      <c r="K586" s="325"/>
    </row>
    <row r="587" spans="2:11" s="312" customFormat="1" x14ac:dyDescent="0.25">
      <c r="B587" s="325"/>
      <c r="D587" s="313"/>
      <c r="K587" s="325"/>
    </row>
    <row r="588" spans="2:11" s="312" customFormat="1" x14ac:dyDescent="0.25">
      <c r="B588" s="325"/>
      <c r="D588" s="313"/>
      <c r="K588" s="325"/>
    </row>
    <row r="589" spans="2:11" s="312" customFormat="1" x14ac:dyDescent="0.25">
      <c r="B589" s="325"/>
      <c r="D589" s="313"/>
      <c r="K589" s="325"/>
    </row>
    <row r="590" spans="2:11" s="312" customFormat="1" x14ac:dyDescent="0.25">
      <c r="B590" s="325"/>
      <c r="D590" s="313"/>
      <c r="K590" s="325"/>
    </row>
    <row r="591" spans="2:11" s="312" customFormat="1" x14ac:dyDescent="0.25">
      <c r="B591" s="325"/>
      <c r="D591" s="313"/>
      <c r="K591" s="325"/>
    </row>
    <row r="592" spans="2:11" s="312" customFormat="1" x14ac:dyDescent="0.25">
      <c r="B592" s="325"/>
      <c r="D592" s="313"/>
      <c r="K592" s="325"/>
    </row>
    <row r="593" spans="2:11" s="312" customFormat="1" x14ac:dyDescent="0.25">
      <c r="B593" s="325"/>
      <c r="D593" s="313"/>
      <c r="K593" s="325"/>
    </row>
    <row r="594" spans="2:11" s="312" customFormat="1" x14ac:dyDescent="0.25">
      <c r="B594" s="325"/>
      <c r="D594" s="313"/>
      <c r="K594" s="325"/>
    </row>
    <row r="595" spans="2:11" s="312" customFormat="1" x14ac:dyDescent="0.25">
      <c r="B595" s="325"/>
      <c r="D595" s="313"/>
      <c r="K595" s="325"/>
    </row>
    <row r="596" spans="2:11" s="312" customFormat="1" x14ac:dyDescent="0.25">
      <c r="B596" s="325"/>
      <c r="D596" s="313"/>
      <c r="K596" s="325"/>
    </row>
    <row r="597" spans="2:11" s="312" customFormat="1" x14ac:dyDescent="0.25">
      <c r="B597" s="325"/>
      <c r="D597" s="313"/>
      <c r="K597" s="325"/>
    </row>
    <row r="598" spans="2:11" s="312" customFormat="1" x14ac:dyDescent="0.25">
      <c r="B598" s="325"/>
      <c r="D598" s="313"/>
      <c r="K598" s="325"/>
    </row>
    <row r="599" spans="2:11" s="312" customFormat="1" x14ac:dyDescent="0.25">
      <c r="B599" s="325"/>
      <c r="D599" s="313"/>
      <c r="K599" s="325"/>
    </row>
    <row r="600" spans="2:11" s="312" customFormat="1" x14ac:dyDescent="0.25">
      <c r="B600" s="325"/>
      <c r="D600" s="313"/>
      <c r="K600" s="325"/>
    </row>
    <row r="601" spans="2:11" s="312" customFormat="1" x14ac:dyDescent="0.25">
      <c r="B601" s="325"/>
      <c r="D601" s="313"/>
      <c r="K601" s="325"/>
    </row>
    <row r="602" spans="2:11" s="312" customFormat="1" x14ac:dyDescent="0.25">
      <c r="B602" s="325"/>
      <c r="D602" s="313"/>
      <c r="K602" s="325"/>
    </row>
    <row r="603" spans="2:11" s="312" customFormat="1" x14ac:dyDescent="0.25">
      <c r="B603" s="325"/>
      <c r="D603" s="313"/>
      <c r="K603" s="325"/>
    </row>
    <row r="604" spans="2:11" s="312" customFormat="1" x14ac:dyDescent="0.25">
      <c r="B604" s="325"/>
      <c r="D604" s="313"/>
      <c r="K604" s="325"/>
    </row>
    <row r="605" spans="2:11" s="312" customFormat="1" x14ac:dyDescent="0.25">
      <c r="B605" s="325"/>
      <c r="D605" s="313"/>
      <c r="K605" s="325"/>
    </row>
    <row r="606" spans="2:11" s="312" customFormat="1" x14ac:dyDescent="0.25">
      <c r="B606" s="325"/>
      <c r="D606" s="313"/>
      <c r="K606" s="325"/>
    </row>
  </sheetData>
  <mergeCells count="221">
    <mergeCell ref="F303:G303"/>
    <mergeCell ref="H303:I303"/>
    <mergeCell ref="H304:I304"/>
    <mergeCell ref="H305:I305"/>
    <mergeCell ref="H306:I306"/>
    <mergeCell ref="F299:G299"/>
    <mergeCell ref="H299:I299"/>
    <mergeCell ref="F300:G300"/>
    <mergeCell ref="H300:I300"/>
    <mergeCell ref="H294:I294"/>
    <mergeCell ref="H295:I295"/>
    <mergeCell ref="H296:I296"/>
    <mergeCell ref="H297:I297"/>
    <mergeCell ref="H298:I298"/>
    <mergeCell ref="H287:I287"/>
    <mergeCell ref="F288:G288"/>
    <mergeCell ref="H291:I291"/>
    <mergeCell ref="F293:G293"/>
    <mergeCell ref="H293:I293"/>
    <mergeCell ref="H278:I278"/>
    <mergeCell ref="H279:I279"/>
    <mergeCell ref="H280:I280"/>
    <mergeCell ref="H281:I281"/>
    <mergeCell ref="F282:G282"/>
    <mergeCell ref="H282:I282"/>
    <mergeCell ref="H270:I270"/>
    <mergeCell ref="H271:I271"/>
    <mergeCell ref="H272:I272"/>
    <mergeCell ref="H273:I273"/>
    <mergeCell ref="F277:G277"/>
    <mergeCell ref="H277:I277"/>
    <mergeCell ref="H265:I265"/>
    <mergeCell ref="F266:G266"/>
    <mergeCell ref="H266:I266"/>
    <mergeCell ref="F267:I267"/>
    <mergeCell ref="F269:G269"/>
    <mergeCell ref="H269:I269"/>
    <mergeCell ref="H260:I260"/>
    <mergeCell ref="H261:I261"/>
    <mergeCell ref="H262:I262"/>
    <mergeCell ref="H263:I263"/>
    <mergeCell ref="H264:I264"/>
    <mergeCell ref="H255:I255"/>
    <mergeCell ref="H256:I256"/>
    <mergeCell ref="H257:I257"/>
    <mergeCell ref="H258:I258"/>
    <mergeCell ref="H259:I259"/>
    <mergeCell ref="H250:I250"/>
    <mergeCell ref="H251:I251"/>
    <mergeCell ref="H252:I252"/>
    <mergeCell ref="H253:I253"/>
    <mergeCell ref="H254:I254"/>
    <mergeCell ref="H245:I245"/>
    <mergeCell ref="H246:I246"/>
    <mergeCell ref="H247:I247"/>
    <mergeCell ref="H248:I248"/>
    <mergeCell ref="H249:I249"/>
    <mergeCell ref="H237:I237"/>
    <mergeCell ref="F238:G238"/>
    <mergeCell ref="H238:I238"/>
    <mergeCell ref="F244:G244"/>
    <mergeCell ref="H244:I244"/>
    <mergeCell ref="H231:I231"/>
    <mergeCell ref="H232:I232"/>
    <mergeCell ref="H234:I234"/>
    <mergeCell ref="H235:I235"/>
    <mergeCell ref="H236:I236"/>
    <mergeCell ref="H226:I226"/>
    <mergeCell ref="H227:I227"/>
    <mergeCell ref="H228:I228"/>
    <mergeCell ref="H229:I229"/>
    <mergeCell ref="H230:I230"/>
    <mergeCell ref="F222:G222"/>
    <mergeCell ref="H222:I222"/>
    <mergeCell ref="H223:I223"/>
    <mergeCell ref="H224:I224"/>
    <mergeCell ref="H225:I225"/>
    <mergeCell ref="H206:I206"/>
    <mergeCell ref="H208:I208"/>
    <mergeCell ref="H209:I209"/>
    <mergeCell ref="H210:I210"/>
    <mergeCell ref="H211:I211"/>
    <mergeCell ref="H201:I201"/>
    <mergeCell ref="H202:I202"/>
    <mergeCell ref="H203:I203"/>
    <mergeCell ref="H204:I204"/>
    <mergeCell ref="H205:I205"/>
    <mergeCell ref="H194:I194"/>
    <mergeCell ref="H195:I195"/>
    <mergeCell ref="F196:I196"/>
    <mergeCell ref="F200:G200"/>
    <mergeCell ref="H200:I200"/>
    <mergeCell ref="H189:I189"/>
    <mergeCell ref="H190:I190"/>
    <mergeCell ref="H191:I191"/>
    <mergeCell ref="H192:I192"/>
    <mergeCell ref="H193:I193"/>
    <mergeCell ref="F186:G186"/>
    <mergeCell ref="H186:I186"/>
    <mergeCell ref="H187:I187"/>
    <mergeCell ref="H188:I188"/>
    <mergeCell ref="H171:I171"/>
    <mergeCell ref="H172:I172"/>
    <mergeCell ref="H173:I173"/>
    <mergeCell ref="H174:I174"/>
    <mergeCell ref="F183:G183"/>
    <mergeCell ref="H165:I165"/>
    <mergeCell ref="H166:I166"/>
    <mergeCell ref="H167:I167"/>
    <mergeCell ref="H169:I169"/>
    <mergeCell ref="H170:I170"/>
    <mergeCell ref="H159:I159"/>
    <mergeCell ref="H161:I161"/>
    <mergeCell ref="H162:I162"/>
    <mergeCell ref="H163:I163"/>
    <mergeCell ref="H164:I164"/>
    <mergeCell ref="H157:I157"/>
    <mergeCell ref="F153:G153"/>
    <mergeCell ref="H153:I153"/>
    <mergeCell ref="H146:I146"/>
    <mergeCell ref="F150:G150"/>
    <mergeCell ref="H150:I150"/>
    <mergeCell ref="H151:I151"/>
    <mergeCell ref="H152:I152"/>
    <mergeCell ref="H143:I143"/>
    <mergeCell ref="F144:G144"/>
    <mergeCell ref="H144:I144"/>
    <mergeCell ref="F145:G145"/>
    <mergeCell ref="H145:I145"/>
    <mergeCell ref="H138:I138"/>
    <mergeCell ref="H139:I139"/>
    <mergeCell ref="H140:I140"/>
    <mergeCell ref="H141:I141"/>
    <mergeCell ref="H142:I142"/>
    <mergeCell ref="F137:G137"/>
    <mergeCell ref="H137:I137"/>
    <mergeCell ref="H132:I132"/>
    <mergeCell ref="F134:G134"/>
    <mergeCell ref="H134:I134"/>
    <mergeCell ref="F135:G135"/>
    <mergeCell ref="H135:I135"/>
    <mergeCell ref="H124:I124"/>
    <mergeCell ref="H125:I125"/>
    <mergeCell ref="H126:I126"/>
    <mergeCell ref="H127:I127"/>
    <mergeCell ref="F128:G128"/>
    <mergeCell ref="H128:I128"/>
    <mergeCell ref="H118:I118"/>
    <mergeCell ref="H119:I119"/>
    <mergeCell ref="H120:I120"/>
    <mergeCell ref="H121:I121"/>
    <mergeCell ref="H122:I122"/>
    <mergeCell ref="H113:I113"/>
    <mergeCell ref="F114:G114"/>
    <mergeCell ref="H114:I114"/>
    <mergeCell ref="F115:I115"/>
    <mergeCell ref="H116:I116"/>
    <mergeCell ref="H110:I110"/>
    <mergeCell ref="F111:G111"/>
    <mergeCell ref="H111:I111"/>
    <mergeCell ref="F112:G112"/>
    <mergeCell ref="H112:I112"/>
    <mergeCell ref="H100:I100"/>
    <mergeCell ref="F107:G107"/>
    <mergeCell ref="H107:I107"/>
    <mergeCell ref="F108:G108"/>
    <mergeCell ref="F109:G109"/>
    <mergeCell ref="H109:I109"/>
    <mergeCell ref="H95:I95"/>
    <mergeCell ref="F97:G97"/>
    <mergeCell ref="H97:I97"/>
    <mergeCell ref="H98:I98"/>
    <mergeCell ref="H99:I99"/>
    <mergeCell ref="H90:I90"/>
    <mergeCell ref="H91:I91"/>
    <mergeCell ref="H92:I92"/>
    <mergeCell ref="H93:I93"/>
    <mergeCell ref="F94:G94"/>
    <mergeCell ref="H94:I94"/>
    <mergeCell ref="H85:I85"/>
    <mergeCell ref="H86:I86"/>
    <mergeCell ref="H87:I87"/>
    <mergeCell ref="H88:I88"/>
    <mergeCell ref="H89:I89"/>
    <mergeCell ref="H80:I80"/>
    <mergeCell ref="F81:G81"/>
    <mergeCell ref="H81:I81"/>
    <mergeCell ref="H83:I83"/>
    <mergeCell ref="H84:I84"/>
    <mergeCell ref="H74:I74"/>
    <mergeCell ref="H75:I75"/>
    <mergeCell ref="H76:I76"/>
    <mergeCell ref="H77:I77"/>
    <mergeCell ref="F79:G79"/>
    <mergeCell ref="H79:I79"/>
    <mergeCell ref="H65:I65"/>
    <mergeCell ref="H66:I66"/>
    <mergeCell ref="F67:G67"/>
    <mergeCell ref="H67:I67"/>
    <mergeCell ref="F73:G73"/>
    <mergeCell ref="H73:I73"/>
    <mergeCell ref="E5:E7"/>
    <mergeCell ref="E17:E19"/>
    <mergeCell ref="F18:I18"/>
    <mergeCell ref="F19:G19"/>
    <mergeCell ref="H19:I19"/>
    <mergeCell ref="H20:I20"/>
    <mergeCell ref="H21:I21"/>
    <mergeCell ref="H22:I22"/>
    <mergeCell ref="H23:I23"/>
    <mergeCell ref="F24:G24"/>
    <mergeCell ref="H24:I24"/>
    <mergeCell ref="F77:G77"/>
    <mergeCell ref="F95:G95"/>
    <mergeCell ref="F100:G100"/>
    <mergeCell ref="F110:G110"/>
    <mergeCell ref="F113:G113"/>
    <mergeCell ref="F118:G118"/>
    <mergeCell ref="F124:G124"/>
    <mergeCell ref="F132:G132"/>
    <mergeCell ref="F143:G143"/>
  </mergeCells>
  <hyperlinks>
    <hyperlink ref="E47" r:id="rId1" tooltip="Открыть страницу о продукте" display="https://pbprog.ru/tk/pi-1651"/>
    <hyperlink ref="E48" r:id="rId2" tooltip="Открыть страницу о продукте" display="https://pbprog.ru/tk/pi-1183"/>
    <hyperlink ref="E49" r:id="rId3" tooltip="Открыть страницу о продукте" display="https://pbprog.ru/tk/pi-1647"/>
    <hyperlink ref="E50" r:id="rId4" tooltip="Открыть страницу о продукте" display="https://pbprog.ru/tk/pi-1647"/>
    <hyperlink ref="E111" r:id="rId5" tooltip="Открыть страницу о продукте" display="https://pbprog.ru/tk/pi-1206"/>
    <hyperlink ref="E112" r:id="rId6" tooltip="Открыть страницу о продукте" display="https://pbprog.ru/tk/pi-39"/>
    <hyperlink ref="E113" r:id="rId7" tooltip="Открыть страницу о продукте" display="https://pbprog.ru/tk/pi-1183"/>
    <hyperlink ref="E114" r:id="rId8" tooltip="Открыть страницу о продукте" display="https://pbprog.ru/tk/pi-1653"/>
    <hyperlink ref="E116" r:id="rId9" tooltip="Открыть страницу о продукте" display="https://pbprog.ru/tk/pi-1647"/>
    <hyperlink ref="E131" r:id="rId10" tooltip="Открыть страницу о продукте" display="https://pbprog.ru/tk/pi-266"/>
    <hyperlink ref="E132" r:id="rId11" tooltip="Открыть страницу о продукте" display="https://pbprog.ru/tk/pi-1183"/>
    <hyperlink ref="E133" r:id="rId12" tooltip="Открыть страницу о продукте" display="https://pbprog.ru/tk/pi-39"/>
    <hyperlink ref="E134" r:id="rId13" tooltip="Открыть страницу о продукте" display="https://pbprog.ru/tk/pi-1653"/>
    <hyperlink ref="E135" r:id="rId14" tooltip="Открыть страницу о продукте" display="https://pbprog.ru/tk/pi-1184"/>
    <hyperlink ref="E90" r:id="rId15" tooltip="Открыть страницу о продукте" display="https://pbprog.ru/tk/pi-206"/>
    <hyperlink ref="E91" r:id="rId16" tooltip="Открыть страницу о продукте" display="https://pbprog.ru/tk/pi-1183"/>
    <hyperlink ref="E92" r:id="rId17" tooltip="Открыть страницу о продукте" display="https://pbprog.ru/tk/pi-1653"/>
    <hyperlink ref="E93" r:id="rId18" tooltip="Открыть страницу о продукте" display="https://pbprog.ru/tk/pi-1647"/>
    <hyperlink ref="E94" r:id="rId19" tooltip="Открыть страницу о продукте" display="https://pbprog.ru/tk/pi-1184"/>
    <hyperlink ref="E95" r:id="rId20" tooltip="Открыть страницу о продукте" display="https://pbprog.ru/tk/pi-39"/>
    <hyperlink ref="E155" r:id="rId21" tooltip="Открыть страницу о продукте" display="https://pbprog.ru/tk/pi-1647"/>
    <hyperlink ref="E154" r:id="rId22" tooltip="Открыть страницу о продукте" display="https://pbprog.ru/tk/pi-1647"/>
    <hyperlink ref="E153" r:id="rId23" tooltip="Открыть страницу о продукте" display="https://pbprog.ru/tk/pi-1183"/>
    <hyperlink ref="E152" r:id="rId24" tooltip="Открыть страницу о продукте" display="https://pbprog.ru/tk/pi-1651"/>
  </hyperlinks>
  <pageMargins left="0.7" right="0.7" top="0.75" bottom="0.75" header="0.3" footer="0.3"/>
  <pageSetup paperSize="9" scale="53" fitToHeight="0" orientation="portrait" verticalDpi="0" r:id="rId2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1"/>
  <sheetViews>
    <sheetView zoomScale="80" zoomScaleNormal="80" workbookViewId="0">
      <pane xSplit="3" ySplit="4" topLeftCell="D377" activePane="bottomRight" state="frozen"/>
      <selection pane="topRight" activeCell="D1" sqref="D1"/>
      <selection pane="bottomLeft" activeCell="A4" sqref="A4"/>
      <selection pane="bottomRight" activeCell="I397" sqref="I397"/>
    </sheetView>
  </sheetViews>
  <sheetFormatPr defaultRowHeight="15" x14ac:dyDescent="0.25"/>
  <cols>
    <col min="1" max="1" width="15.85546875" style="65" customWidth="1"/>
    <col min="2" max="2" width="24.5703125" style="65" customWidth="1"/>
    <col min="3" max="3" width="9.140625" style="65"/>
    <col min="4" max="4" width="27" style="65" customWidth="1"/>
    <col min="5" max="8" width="9.140625" style="65"/>
    <col min="9" max="9" width="9.5703125" style="119" bestFit="1" customWidth="1"/>
    <col min="14" max="14" width="11.140625" customWidth="1"/>
    <col min="16" max="16" width="7.28515625" customWidth="1"/>
    <col min="17" max="17" width="6.28515625" customWidth="1"/>
    <col min="18" max="18" width="6" customWidth="1"/>
  </cols>
  <sheetData>
    <row r="1" spans="1:15" x14ac:dyDescent="0.25">
      <c r="A1" s="350" t="s">
        <v>402</v>
      </c>
      <c r="B1" s="351"/>
      <c r="C1" s="351"/>
      <c r="D1" s="351"/>
      <c r="E1" s="351"/>
      <c r="F1" s="351"/>
      <c r="G1" s="351"/>
      <c r="H1" s="351"/>
      <c r="I1" s="352"/>
    </row>
    <row r="2" spans="1:15" ht="27.75" customHeight="1" x14ac:dyDescent="0.25">
      <c r="A2" s="186">
        <f>(I5+I41+I83+I127+I164+I214+I249+I304+I343+I396)/10</f>
        <v>73.566552889999997</v>
      </c>
      <c r="B2" s="219" t="s">
        <v>36</v>
      </c>
      <c r="C2" s="220" t="s">
        <v>27</v>
      </c>
      <c r="D2" s="217" t="s">
        <v>17</v>
      </c>
      <c r="E2" s="217" t="s">
        <v>18</v>
      </c>
      <c r="F2" s="217"/>
      <c r="G2" s="5"/>
      <c r="H2" s="218" t="s">
        <v>25</v>
      </c>
      <c r="I2" s="221" t="s">
        <v>26</v>
      </c>
    </row>
    <row r="3" spans="1:15" ht="30.75" customHeight="1" x14ac:dyDescent="0.25">
      <c r="A3" s="68" t="s">
        <v>144</v>
      </c>
      <c r="B3" s="219"/>
      <c r="C3" s="220"/>
      <c r="D3" s="217"/>
      <c r="E3" s="217" t="s">
        <v>19</v>
      </c>
      <c r="F3" s="217"/>
      <c r="G3" s="5"/>
      <c r="H3" s="218"/>
      <c r="I3" s="221"/>
    </row>
    <row r="4" spans="1:15" x14ac:dyDescent="0.25">
      <c r="A4" s="5" t="s">
        <v>113</v>
      </c>
      <c r="B4" s="219"/>
      <c r="C4" s="220"/>
      <c r="D4" s="217"/>
      <c r="E4" s="19" t="s">
        <v>20</v>
      </c>
      <c r="F4" s="19" t="s">
        <v>21</v>
      </c>
      <c r="G4" s="5"/>
      <c r="H4" s="218"/>
      <c r="I4" s="221"/>
    </row>
    <row r="5" spans="1:15" s="14" customFormat="1" x14ac:dyDescent="0.25">
      <c r="A5" s="15" t="s">
        <v>13</v>
      </c>
      <c r="B5" s="13"/>
      <c r="C5" s="64"/>
      <c r="D5" s="16"/>
      <c r="E5" s="16"/>
      <c r="F5" s="16"/>
      <c r="G5" s="13"/>
      <c r="H5" s="17"/>
      <c r="I5" s="53">
        <f>I9+I20+I26+I34+I36+I38+I39</f>
        <v>64.522750000000002</v>
      </c>
      <c r="J5" s="63"/>
      <c r="K5" s="13"/>
      <c r="L5" s="13"/>
      <c r="M5" s="13"/>
      <c r="N5" s="13"/>
      <c r="O5" s="13"/>
    </row>
    <row r="6" spans="1:15" ht="30" x14ac:dyDescent="0.25">
      <c r="B6" s="66" t="s">
        <v>127</v>
      </c>
      <c r="C6" s="65">
        <v>60</v>
      </c>
      <c r="D6" s="58" t="s">
        <v>123</v>
      </c>
      <c r="E6" s="59">
        <v>56.4</v>
      </c>
      <c r="F6" s="59">
        <v>56.4</v>
      </c>
      <c r="I6" s="119">
        <f>H6/1000*E6</f>
        <v>0</v>
      </c>
    </row>
    <row r="7" spans="1:15" ht="30" x14ac:dyDescent="0.25">
      <c r="D7" s="60" t="s">
        <v>124</v>
      </c>
      <c r="E7" s="59">
        <v>70.5</v>
      </c>
      <c r="F7" s="59">
        <v>56.4</v>
      </c>
      <c r="H7" s="65">
        <v>35</v>
      </c>
      <c r="I7" s="119">
        <f>H7/1000*E7</f>
        <v>2.4675000000000002</v>
      </c>
    </row>
    <row r="8" spans="1:15" x14ac:dyDescent="0.25">
      <c r="D8" s="58" t="s">
        <v>125</v>
      </c>
      <c r="E8" s="59">
        <v>4.2</v>
      </c>
      <c r="F8" s="59">
        <v>4.2</v>
      </c>
      <c r="H8" s="65">
        <v>163</v>
      </c>
      <c r="I8" s="119">
        <f>H8/1000*E8</f>
        <v>0.6846000000000001</v>
      </c>
    </row>
    <row r="9" spans="1:15" x14ac:dyDescent="0.25">
      <c r="D9" s="61" t="s">
        <v>126</v>
      </c>
      <c r="E9" s="62"/>
      <c r="F9" s="62">
        <v>60</v>
      </c>
      <c r="I9" s="99">
        <f>I7+I8</f>
        <v>3.1521000000000003</v>
      </c>
    </row>
    <row r="10" spans="1:15" x14ac:dyDescent="0.25">
      <c r="D10" s="71"/>
      <c r="E10" s="71"/>
      <c r="F10" s="71"/>
    </row>
    <row r="11" spans="1:15" x14ac:dyDescent="0.25">
      <c r="B11" s="73" t="s">
        <v>68</v>
      </c>
      <c r="C11" s="69">
        <v>200</v>
      </c>
      <c r="D11" s="7" t="s">
        <v>129</v>
      </c>
      <c r="E11" s="19">
        <v>50</v>
      </c>
      <c r="F11" s="19">
        <v>40</v>
      </c>
      <c r="G11" s="70"/>
      <c r="H11" s="65">
        <v>45</v>
      </c>
      <c r="I11" s="119">
        <f t="shared" ref="I11:I16" si="0">H11/1000*E11</f>
        <v>2.25</v>
      </c>
    </row>
    <row r="12" spans="1:15" x14ac:dyDescent="0.25">
      <c r="C12" s="69"/>
      <c r="D12" s="7" t="s">
        <v>130</v>
      </c>
      <c r="E12" s="19">
        <v>32</v>
      </c>
      <c r="F12" s="19">
        <v>24</v>
      </c>
      <c r="G12" s="70"/>
      <c r="H12" s="65">
        <v>30</v>
      </c>
      <c r="I12" s="119">
        <f t="shared" si="0"/>
        <v>0.96</v>
      </c>
    </row>
    <row r="13" spans="1:15" x14ac:dyDescent="0.25">
      <c r="C13" s="69"/>
      <c r="D13" s="7" t="s">
        <v>131</v>
      </c>
      <c r="E13" s="19">
        <v>12.6</v>
      </c>
      <c r="F13" s="19">
        <v>10</v>
      </c>
      <c r="G13" s="70"/>
      <c r="H13" s="65">
        <v>35</v>
      </c>
      <c r="I13" s="119">
        <f t="shared" si="0"/>
        <v>0.441</v>
      </c>
    </row>
    <row r="14" spans="1:15" x14ac:dyDescent="0.25">
      <c r="C14" s="69"/>
      <c r="D14" s="7" t="s">
        <v>132</v>
      </c>
      <c r="E14" s="19">
        <v>9.6</v>
      </c>
      <c r="F14" s="19">
        <v>8</v>
      </c>
      <c r="G14" s="70"/>
      <c r="H14" s="65">
        <v>27</v>
      </c>
      <c r="I14" s="119">
        <f t="shared" si="0"/>
        <v>0.25919999999999999</v>
      </c>
    </row>
    <row r="15" spans="1:15" x14ac:dyDescent="0.25">
      <c r="C15" s="69"/>
      <c r="D15" s="7" t="s">
        <v>133</v>
      </c>
      <c r="E15" s="19">
        <v>2</v>
      </c>
      <c r="F15" s="19">
        <v>2</v>
      </c>
      <c r="G15" s="70"/>
      <c r="H15" s="65">
        <v>210</v>
      </c>
      <c r="I15" s="119">
        <f t="shared" si="0"/>
        <v>0.42</v>
      </c>
    </row>
    <row r="16" spans="1:15" x14ac:dyDescent="0.25">
      <c r="C16" s="69"/>
      <c r="D16" s="7" t="s">
        <v>125</v>
      </c>
      <c r="E16" s="19">
        <v>4</v>
      </c>
      <c r="F16" s="19">
        <v>4</v>
      </c>
      <c r="G16" s="70"/>
      <c r="H16" s="65">
        <v>163</v>
      </c>
      <c r="I16" s="119">
        <f t="shared" si="0"/>
        <v>0.65200000000000002</v>
      </c>
    </row>
    <row r="17" spans="2:9" x14ac:dyDescent="0.25">
      <c r="C17" s="69"/>
      <c r="D17" s="7" t="s">
        <v>134</v>
      </c>
      <c r="E17" s="19">
        <v>160</v>
      </c>
      <c r="F17" s="19">
        <v>160</v>
      </c>
      <c r="G17" s="70"/>
    </row>
    <row r="18" spans="2:9" x14ac:dyDescent="0.25">
      <c r="C18" s="69"/>
      <c r="D18" s="7" t="s">
        <v>135</v>
      </c>
      <c r="E18" s="19">
        <v>160</v>
      </c>
      <c r="F18" s="19">
        <v>160</v>
      </c>
      <c r="G18" s="70"/>
    </row>
    <row r="19" spans="2:9" x14ac:dyDescent="0.25">
      <c r="C19" s="69"/>
      <c r="D19" s="7" t="s">
        <v>136</v>
      </c>
      <c r="E19" s="19">
        <v>160</v>
      </c>
      <c r="F19" s="19">
        <v>160</v>
      </c>
      <c r="G19" s="70"/>
    </row>
    <row r="20" spans="2:9" x14ac:dyDescent="0.25">
      <c r="C20" s="69"/>
      <c r="D20" s="56" t="s">
        <v>23</v>
      </c>
      <c r="E20" s="217">
        <v>200</v>
      </c>
      <c r="F20" s="217"/>
      <c r="G20" s="70"/>
      <c r="I20" s="99">
        <f>I11+I12+I13+I14+I15+I16</f>
        <v>4.9821999999999997</v>
      </c>
    </row>
    <row r="21" spans="2:9" x14ac:dyDescent="0.25">
      <c r="D21" s="74"/>
      <c r="E21" s="74"/>
      <c r="F21" s="74"/>
    </row>
    <row r="22" spans="2:9" x14ac:dyDescent="0.25">
      <c r="B22" s="73" t="s">
        <v>62</v>
      </c>
      <c r="C22" s="69">
        <v>150</v>
      </c>
      <c r="D22" s="7" t="s">
        <v>138</v>
      </c>
      <c r="E22" s="19">
        <v>69</v>
      </c>
      <c r="F22" s="19">
        <v>69</v>
      </c>
      <c r="G22" s="70"/>
      <c r="H22" s="65">
        <v>80</v>
      </c>
      <c r="I22" s="119">
        <f t="shared" ref="I22:I23" si="1">H22/1000*E22</f>
        <v>5.5200000000000005</v>
      </c>
    </row>
    <row r="23" spans="2:9" x14ac:dyDescent="0.25">
      <c r="C23" s="69"/>
      <c r="D23" s="7" t="s">
        <v>32</v>
      </c>
      <c r="E23" s="19">
        <v>102</v>
      </c>
      <c r="F23" s="19">
        <v>102</v>
      </c>
      <c r="G23" s="70"/>
      <c r="I23" s="119">
        <f t="shared" si="1"/>
        <v>0</v>
      </c>
    </row>
    <row r="24" spans="2:9" x14ac:dyDescent="0.25">
      <c r="C24" s="69"/>
      <c r="D24" s="7" t="s">
        <v>139</v>
      </c>
      <c r="E24" s="19" t="s">
        <v>35</v>
      </c>
      <c r="F24" s="19">
        <v>144</v>
      </c>
      <c r="G24" s="70"/>
    </row>
    <row r="25" spans="2:9" x14ac:dyDescent="0.25">
      <c r="C25" s="69"/>
      <c r="D25" s="7" t="s">
        <v>22</v>
      </c>
      <c r="E25" s="19">
        <v>6.75</v>
      </c>
      <c r="F25" s="19">
        <v>6.75</v>
      </c>
      <c r="G25" s="70"/>
      <c r="H25" s="65">
        <v>990</v>
      </c>
      <c r="I25" s="119">
        <f>H25/1000*E25</f>
        <v>6.6825000000000001</v>
      </c>
    </row>
    <row r="26" spans="2:9" x14ac:dyDescent="0.25">
      <c r="C26" s="69"/>
      <c r="D26" s="56" t="s">
        <v>23</v>
      </c>
      <c r="E26" s="217">
        <v>150</v>
      </c>
      <c r="F26" s="217"/>
      <c r="G26" s="70"/>
      <c r="I26" s="99">
        <f>I22+I25</f>
        <v>12.202500000000001</v>
      </c>
    </row>
    <row r="27" spans="2:9" x14ac:dyDescent="0.25">
      <c r="D27" s="72"/>
      <c r="E27" s="72"/>
      <c r="F27" s="72"/>
    </row>
    <row r="28" spans="2:9" x14ac:dyDescent="0.25">
      <c r="B28" s="65" t="s">
        <v>107</v>
      </c>
      <c r="C28" s="65">
        <v>90</v>
      </c>
      <c r="D28" s="11" t="s">
        <v>140</v>
      </c>
      <c r="E28" s="84">
        <v>87</v>
      </c>
      <c r="F28" s="84">
        <v>77</v>
      </c>
      <c r="H28" s="65">
        <v>270</v>
      </c>
      <c r="I28" s="119">
        <f t="shared" ref="I28:I33" si="2">H28/1000*E28</f>
        <v>23.490000000000002</v>
      </c>
    </row>
    <row r="29" spans="2:9" x14ac:dyDescent="0.25">
      <c r="D29" s="11" t="s">
        <v>4</v>
      </c>
      <c r="E29" s="84">
        <v>14.5</v>
      </c>
      <c r="F29" s="84">
        <v>14.5</v>
      </c>
      <c r="H29" s="65">
        <v>55.1</v>
      </c>
      <c r="I29" s="119">
        <f t="shared" si="2"/>
        <v>0.79895000000000005</v>
      </c>
    </row>
    <row r="30" spans="2:9" x14ac:dyDescent="0.25">
      <c r="D30" s="11" t="s">
        <v>31</v>
      </c>
      <c r="E30" s="84">
        <v>22</v>
      </c>
      <c r="F30" s="84">
        <v>22</v>
      </c>
      <c r="H30" s="65">
        <v>69</v>
      </c>
      <c r="I30" s="119">
        <f t="shared" si="2"/>
        <v>1.5180000000000002</v>
      </c>
    </row>
    <row r="31" spans="2:9" x14ac:dyDescent="0.25">
      <c r="D31" s="11" t="s">
        <v>141</v>
      </c>
      <c r="E31" s="84">
        <v>10</v>
      </c>
      <c r="F31" s="84">
        <v>10</v>
      </c>
      <c r="H31" s="65">
        <v>150</v>
      </c>
      <c r="I31" s="119">
        <f t="shared" si="2"/>
        <v>1.5</v>
      </c>
    </row>
    <row r="32" spans="2:9" x14ac:dyDescent="0.25">
      <c r="D32" s="11" t="s">
        <v>125</v>
      </c>
      <c r="E32" s="18">
        <v>6</v>
      </c>
      <c r="F32" s="84">
        <v>6</v>
      </c>
      <c r="H32" s="65">
        <v>163</v>
      </c>
      <c r="I32" s="119">
        <f t="shared" si="2"/>
        <v>0.97799999999999998</v>
      </c>
    </row>
    <row r="33" spans="1:23" x14ac:dyDescent="0.25">
      <c r="D33" s="11" t="s">
        <v>142</v>
      </c>
      <c r="E33" s="84">
        <v>0.6</v>
      </c>
      <c r="F33" s="84">
        <v>0.6</v>
      </c>
      <c r="H33" s="65">
        <v>20</v>
      </c>
      <c r="I33" s="119">
        <f t="shared" si="2"/>
        <v>1.2E-2</v>
      </c>
    </row>
    <row r="34" spans="1:23" x14ac:dyDescent="0.25">
      <c r="D34" s="87" t="s">
        <v>112</v>
      </c>
      <c r="E34" s="87" t="s">
        <v>35</v>
      </c>
      <c r="F34" s="88">
        <v>90</v>
      </c>
      <c r="I34" s="99">
        <f>SUM(I28:I33)</f>
        <v>28.296950000000006</v>
      </c>
    </row>
    <row r="36" spans="1:23" x14ac:dyDescent="0.25">
      <c r="B36" s="65" t="s">
        <v>143</v>
      </c>
      <c r="C36" s="65">
        <v>200</v>
      </c>
      <c r="E36" s="65">
        <v>200</v>
      </c>
      <c r="F36" s="65">
        <v>200</v>
      </c>
      <c r="H36" s="65">
        <v>64</v>
      </c>
      <c r="I36" s="99">
        <f>H36/1000*E36</f>
        <v>12.8</v>
      </c>
    </row>
    <row r="38" spans="1:23" x14ac:dyDescent="0.25">
      <c r="B38" s="65" t="s">
        <v>90</v>
      </c>
      <c r="C38" s="65">
        <v>30</v>
      </c>
      <c r="E38" s="65">
        <v>30</v>
      </c>
      <c r="H38" s="65">
        <v>55.1</v>
      </c>
      <c r="I38" s="99">
        <f t="shared" ref="I38:I39" si="3">H38/1000*E38</f>
        <v>1.653</v>
      </c>
    </row>
    <row r="39" spans="1:23" x14ac:dyDescent="0.25">
      <c r="B39" s="65" t="s">
        <v>145</v>
      </c>
      <c r="C39" s="65">
        <v>40</v>
      </c>
      <c r="E39" s="65">
        <v>40</v>
      </c>
      <c r="H39" s="65">
        <v>35.9</v>
      </c>
      <c r="I39" s="99">
        <f t="shared" si="3"/>
        <v>1.4359999999999999</v>
      </c>
    </row>
    <row r="41" spans="1:23" s="14" customFormat="1" x14ac:dyDescent="0.25">
      <c r="A41" s="15" t="s">
        <v>16</v>
      </c>
      <c r="B41" s="13"/>
      <c r="C41" s="64"/>
      <c r="D41" s="57"/>
      <c r="E41" s="57"/>
      <c r="F41" s="57"/>
      <c r="G41" s="13"/>
      <c r="H41" s="17"/>
      <c r="I41" s="53">
        <f>I46+I56+I70+I77+I79+I81</f>
        <v>96.068717399999997</v>
      </c>
      <c r="J41" s="63"/>
      <c r="K41" s="13"/>
      <c r="L41" s="13"/>
      <c r="M41" s="13"/>
      <c r="N41" s="13"/>
      <c r="O41" s="13"/>
    </row>
    <row r="42" spans="1:23" x14ac:dyDescent="0.25">
      <c r="B42" s="89" t="s">
        <v>77</v>
      </c>
      <c r="C42" s="69">
        <v>60</v>
      </c>
      <c r="D42" s="7" t="s">
        <v>146</v>
      </c>
      <c r="E42" s="19">
        <v>60.78</v>
      </c>
      <c r="F42" s="19">
        <v>48.6</v>
      </c>
      <c r="G42" s="70"/>
      <c r="H42" s="65">
        <v>74.33</v>
      </c>
      <c r="I42" s="119">
        <f t="shared" ref="I42:I45" si="4">H42/1000*E42</f>
        <v>4.5177773999999999</v>
      </c>
    </row>
    <row r="43" spans="1:23" x14ac:dyDescent="0.25">
      <c r="C43" s="69"/>
      <c r="D43" s="7" t="s">
        <v>147</v>
      </c>
      <c r="E43" s="19">
        <v>11.28</v>
      </c>
      <c r="F43" s="19">
        <v>9</v>
      </c>
      <c r="G43" s="70"/>
      <c r="I43" s="119">
        <f t="shared" si="4"/>
        <v>0</v>
      </c>
    </row>
    <row r="44" spans="1:23" x14ac:dyDescent="0.25">
      <c r="C44" s="69"/>
      <c r="D44" s="7" t="s">
        <v>148</v>
      </c>
      <c r="E44" s="19">
        <v>10.74</v>
      </c>
      <c r="F44" s="19">
        <v>9</v>
      </c>
      <c r="G44" s="70"/>
      <c r="H44" s="65">
        <v>27</v>
      </c>
      <c r="I44" s="119">
        <f t="shared" si="4"/>
        <v>0.28998000000000002</v>
      </c>
    </row>
    <row r="45" spans="1:23" x14ac:dyDescent="0.25">
      <c r="C45" s="69"/>
      <c r="D45" s="7" t="s">
        <v>125</v>
      </c>
      <c r="E45" s="19">
        <v>3</v>
      </c>
      <c r="F45" s="19">
        <v>3</v>
      </c>
      <c r="G45" s="70"/>
      <c r="H45" s="65">
        <v>163</v>
      </c>
      <c r="I45" s="119">
        <f t="shared" si="4"/>
        <v>0.48899999999999999</v>
      </c>
    </row>
    <row r="46" spans="1:23" x14ac:dyDescent="0.25">
      <c r="C46" s="69"/>
      <c r="D46" s="56" t="s">
        <v>23</v>
      </c>
      <c r="E46" s="217">
        <v>60</v>
      </c>
      <c r="F46" s="217"/>
      <c r="G46" s="70"/>
      <c r="I46" s="99">
        <f>I42+I44+I45</f>
        <v>5.2967573999999997</v>
      </c>
    </row>
    <row r="47" spans="1:23" x14ac:dyDescent="0.25">
      <c r="D47" s="74"/>
      <c r="E47" s="74"/>
      <c r="F47" s="74"/>
    </row>
    <row r="48" spans="1:23" x14ac:dyDescent="0.25">
      <c r="B48" s="65" t="s">
        <v>174</v>
      </c>
      <c r="C48" s="65">
        <v>200</v>
      </c>
      <c r="D48" s="100" t="s">
        <v>178</v>
      </c>
      <c r="E48" s="98">
        <v>15</v>
      </c>
      <c r="F48" s="98">
        <v>12</v>
      </c>
      <c r="H48" s="65">
        <v>270</v>
      </c>
      <c r="I48" s="46">
        <f t="shared" ref="I48:I55" si="5">H48/1000*E48</f>
        <v>4.0500000000000007</v>
      </c>
      <c r="P48" s="89" t="s">
        <v>82</v>
      </c>
      <c r="Q48" s="69">
        <v>200</v>
      </c>
      <c r="R48" s="7" t="s">
        <v>130</v>
      </c>
      <c r="S48" s="114">
        <v>68</v>
      </c>
      <c r="T48" s="114">
        <v>50</v>
      </c>
      <c r="U48" s="70"/>
      <c r="V48" s="65">
        <v>30</v>
      </c>
      <c r="W48" s="65">
        <f t="shared" ref="W48:W57" si="6">V48/1000*S48</f>
        <v>2.04</v>
      </c>
    </row>
    <row r="49" spans="2:23" x14ac:dyDescent="0.25">
      <c r="D49" s="97" t="s">
        <v>131</v>
      </c>
      <c r="E49" s="84">
        <v>9</v>
      </c>
      <c r="F49" s="84">
        <v>7</v>
      </c>
      <c r="H49" s="65">
        <v>35</v>
      </c>
      <c r="I49" s="46">
        <f t="shared" si="5"/>
        <v>0.31500000000000006</v>
      </c>
      <c r="P49" s="65"/>
      <c r="Q49" s="69"/>
      <c r="R49" s="7" t="s">
        <v>149</v>
      </c>
      <c r="S49" s="114">
        <v>16</v>
      </c>
      <c r="T49" s="114">
        <v>16</v>
      </c>
      <c r="U49" s="70"/>
      <c r="V49" s="65">
        <v>57</v>
      </c>
      <c r="W49" s="65">
        <f t="shared" si="6"/>
        <v>0.91200000000000003</v>
      </c>
    </row>
    <row r="50" spans="2:23" x14ac:dyDescent="0.25">
      <c r="D50" s="97" t="s">
        <v>132</v>
      </c>
      <c r="E50" s="84">
        <v>9</v>
      </c>
      <c r="F50" s="84">
        <v>8</v>
      </c>
      <c r="H50" s="65">
        <v>27</v>
      </c>
      <c r="I50" s="46">
        <f t="shared" si="5"/>
        <v>0.24299999999999999</v>
      </c>
      <c r="P50" s="65"/>
      <c r="Q50" s="69"/>
      <c r="R50" s="7" t="s">
        <v>132</v>
      </c>
      <c r="S50" s="114">
        <v>10</v>
      </c>
      <c r="T50" s="114">
        <v>8</v>
      </c>
      <c r="U50" s="70"/>
      <c r="V50" s="65">
        <v>27</v>
      </c>
      <c r="W50" s="65">
        <f t="shared" si="6"/>
        <v>0.27</v>
      </c>
    </row>
    <row r="51" spans="2:23" x14ac:dyDescent="0.25">
      <c r="D51" s="97" t="s">
        <v>166</v>
      </c>
      <c r="E51" s="84">
        <v>16</v>
      </c>
      <c r="F51" s="84">
        <v>16</v>
      </c>
      <c r="H51" s="65">
        <v>59</v>
      </c>
      <c r="I51" s="46">
        <f t="shared" si="5"/>
        <v>0.94399999999999995</v>
      </c>
      <c r="P51" s="65"/>
      <c r="Q51" s="69"/>
      <c r="R51" s="7" t="s">
        <v>131</v>
      </c>
      <c r="S51" s="114">
        <v>10</v>
      </c>
      <c r="T51" s="114">
        <v>8</v>
      </c>
      <c r="U51" s="70"/>
      <c r="V51" s="65">
        <v>35</v>
      </c>
      <c r="W51" s="65">
        <f t="shared" si="6"/>
        <v>0.35000000000000003</v>
      </c>
    </row>
    <row r="52" spans="2:23" x14ac:dyDescent="0.25">
      <c r="D52" s="97" t="s">
        <v>125</v>
      </c>
      <c r="E52" s="84">
        <v>1</v>
      </c>
      <c r="F52" s="84">
        <v>1</v>
      </c>
      <c r="H52" s="65">
        <v>163</v>
      </c>
      <c r="I52" s="46">
        <f t="shared" si="5"/>
        <v>0.16300000000000001</v>
      </c>
      <c r="P52" s="65"/>
      <c r="Q52" s="69"/>
      <c r="R52" s="7" t="s">
        <v>150</v>
      </c>
      <c r="S52" s="114">
        <v>2.5</v>
      </c>
      <c r="T52" s="114">
        <v>2</v>
      </c>
      <c r="U52" s="70"/>
      <c r="V52" s="65">
        <v>700</v>
      </c>
      <c r="W52" s="65">
        <f t="shared" si="6"/>
        <v>1.75</v>
      </c>
    </row>
    <row r="53" spans="2:23" x14ac:dyDescent="0.25">
      <c r="D53" s="97" t="s">
        <v>22</v>
      </c>
      <c r="E53" s="84">
        <v>2</v>
      </c>
      <c r="F53" s="84">
        <v>2</v>
      </c>
      <c r="H53" s="65">
        <v>990</v>
      </c>
      <c r="I53" s="46">
        <f t="shared" si="5"/>
        <v>1.98</v>
      </c>
      <c r="P53" s="65"/>
      <c r="Q53" s="69"/>
      <c r="R53" s="7" t="s">
        <v>125</v>
      </c>
      <c r="S53" s="114">
        <v>4</v>
      </c>
      <c r="T53" s="114">
        <v>4</v>
      </c>
      <c r="U53" s="70"/>
      <c r="V53" s="65">
        <v>163</v>
      </c>
      <c r="W53" s="65">
        <f t="shared" si="6"/>
        <v>0.65200000000000002</v>
      </c>
    </row>
    <row r="54" spans="2:23" x14ac:dyDescent="0.25">
      <c r="D54" s="97" t="s">
        <v>147</v>
      </c>
      <c r="E54" s="84">
        <v>4</v>
      </c>
      <c r="F54" s="84">
        <v>3</v>
      </c>
      <c r="H54" s="65">
        <v>350</v>
      </c>
      <c r="I54" s="46">
        <f t="shared" si="5"/>
        <v>1.4</v>
      </c>
      <c r="P54" s="65"/>
      <c r="Q54" s="69"/>
      <c r="R54" s="7" t="s">
        <v>151</v>
      </c>
      <c r="S54" s="114">
        <v>0.04</v>
      </c>
      <c r="T54" s="114">
        <v>0.04</v>
      </c>
      <c r="U54" s="70"/>
      <c r="V54" s="65">
        <v>1000</v>
      </c>
      <c r="W54" s="65">
        <f t="shared" si="6"/>
        <v>0.04</v>
      </c>
    </row>
    <row r="55" spans="2:23" ht="25.5" x14ac:dyDescent="0.25">
      <c r="D55" s="97" t="s">
        <v>142</v>
      </c>
      <c r="E55" s="84">
        <v>1</v>
      </c>
      <c r="F55" s="84">
        <v>1</v>
      </c>
      <c r="H55" s="65">
        <v>20</v>
      </c>
      <c r="I55" s="46">
        <f t="shared" si="5"/>
        <v>0.02</v>
      </c>
      <c r="P55" s="65"/>
      <c r="Q55" s="69"/>
      <c r="R55" s="7" t="s">
        <v>34</v>
      </c>
      <c r="S55" s="114">
        <v>0.3</v>
      </c>
      <c r="T55" s="114">
        <v>0.3</v>
      </c>
      <c r="U55" s="70"/>
      <c r="V55" s="65">
        <v>20</v>
      </c>
      <c r="W55" s="65">
        <f t="shared" si="6"/>
        <v>6.0000000000000001E-3</v>
      </c>
    </row>
    <row r="56" spans="2:23" x14ac:dyDescent="0.25">
      <c r="D56" s="76" t="s">
        <v>112</v>
      </c>
      <c r="E56" s="12" t="s">
        <v>35</v>
      </c>
      <c r="F56" s="12" t="s">
        <v>173</v>
      </c>
      <c r="I56" s="99">
        <f>SUM(I48:I55)</f>
        <v>9.115000000000002</v>
      </c>
      <c r="P56" s="65"/>
      <c r="Q56" s="69"/>
      <c r="R56" s="7" t="s">
        <v>152</v>
      </c>
      <c r="S56" s="114">
        <v>130</v>
      </c>
      <c r="T56" s="114">
        <v>130</v>
      </c>
      <c r="U56" s="70"/>
      <c r="V56" s="65"/>
      <c r="W56" s="65">
        <f t="shared" si="6"/>
        <v>0</v>
      </c>
    </row>
    <row r="57" spans="2:23" x14ac:dyDescent="0.25">
      <c r="C57" s="69"/>
      <c r="D57" s="7"/>
      <c r="E57" s="19"/>
      <c r="F57" s="19"/>
      <c r="G57" s="70"/>
      <c r="P57" s="65"/>
      <c r="Q57" s="69"/>
      <c r="R57" s="7" t="s">
        <v>153</v>
      </c>
      <c r="S57" s="114">
        <v>130</v>
      </c>
      <c r="T57" s="114">
        <v>130</v>
      </c>
      <c r="U57" s="70"/>
      <c r="V57" s="65"/>
      <c r="W57" s="65">
        <f t="shared" si="6"/>
        <v>0</v>
      </c>
    </row>
    <row r="58" spans="2:23" x14ac:dyDescent="0.25">
      <c r="C58" s="69"/>
      <c r="D58" s="56"/>
      <c r="E58" s="217"/>
      <c r="F58" s="217"/>
      <c r="G58" s="70"/>
      <c r="I58" s="99"/>
      <c r="P58" s="65"/>
      <c r="Q58" s="69"/>
      <c r="R58" s="56" t="s">
        <v>23</v>
      </c>
      <c r="S58" s="217">
        <v>200</v>
      </c>
      <c r="T58" s="217"/>
      <c r="U58" s="70"/>
      <c r="V58" s="65"/>
      <c r="W58" s="67">
        <f>SUM(W48:W57)</f>
        <v>6.0200000000000005</v>
      </c>
    </row>
    <row r="59" spans="2:23" x14ac:dyDescent="0.25">
      <c r="D59" s="74"/>
      <c r="E59" s="74"/>
      <c r="F59" s="74"/>
      <c r="I59" s="99"/>
    </row>
    <row r="60" spans="2:23" ht="25.5" x14ac:dyDescent="0.25">
      <c r="B60" s="73" t="s">
        <v>78</v>
      </c>
      <c r="C60" s="69">
        <v>180</v>
      </c>
      <c r="D60" s="7" t="s">
        <v>316</v>
      </c>
      <c r="E60" s="123">
        <v>110.05</v>
      </c>
      <c r="F60" s="123" t="s">
        <v>317</v>
      </c>
      <c r="G60" s="70"/>
      <c r="I60" s="119">
        <f t="shared" ref="I60:I67" si="7">H60/1000*E60</f>
        <v>0</v>
      </c>
    </row>
    <row r="61" spans="2:23" ht="25.5" x14ac:dyDescent="0.25">
      <c r="C61" s="69"/>
      <c r="D61" s="7" t="s">
        <v>318</v>
      </c>
      <c r="E61" s="123">
        <v>110.05</v>
      </c>
      <c r="F61" s="123">
        <v>81.25</v>
      </c>
      <c r="G61" s="70"/>
      <c r="H61" s="65">
        <v>614</v>
      </c>
      <c r="I61" s="119">
        <f t="shared" si="7"/>
        <v>67.570700000000002</v>
      </c>
    </row>
    <row r="62" spans="2:23" x14ac:dyDescent="0.25">
      <c r="C62" s="69"/>
      <c r="D62" s="7" t="s">
        <v>319</v>
      </c>
      <c r="E62" s="123">
        <v>89.48</v>
      </c>
      <c r="F62" s="123">
        <v>76.12</v>
      </c>
      <c r="G62" s="70"/>
      <c r="H62" s="65">
        <v>398</v>
      </c>
    </row>
    <row r="63" spans="2:23" ht="25.5" x14ac:dyDescent="0.25">
      <c r="C63" s="69"/>
      <c r="D63" s="7" t="s">
        <v>320</v>
      </c>
      <c r="E63" s="123">
        <v>89.48</v>
      </c>
      <c r="F63" s="123">
        <v>76.12</v>
      </c>
      <c r="G63" s="70"/>
      <c r="I63" s="119">
        <f t="shared" si="7"/>
        <v>0</v>
      </c>
    </row>
    <row r="64" spans="2:23" x14ac:dyDescent="0.25">
      <c r="C64" s="69"/>
      <c r="D64" s="7" t="s">
        <v>130</v>
      </c>
      <c r="E64" s="123">
        <v>136.80000000000001</v>
      </c>
      <c r="F64" s="123">
        <v>102.85</v>
      </c>
      <c r="G64" s="70"/>
      <c r="H64" s="65">
        <v>30</v>
      </c>
      <c r="I64" s="119">
        <f t="shared" si="7"/>
        <v>4.1040000000000001</v>
      </c>
    </row>
    <row r="65" spans="2:9" x14ac:dyDescent="0.25">
      <c r="C65" s="69"/>
      <c r="D65" s="7" t="s">
        <v>132</v>
      </c>
      <c r="E65" s="123">
        <v>12.35</v>
      </c>
      <c r="F65" s="123">
        <v>10.28</v>
      </c>
      <c r="G65" s="70"/>
      <c r="H65" s="65">
        <v>27</v>
      </c>
      <c r="I65" s="119">
        <f t="shared" si="7"/>
        <v>0.33344999999999997</v>
      </c>
    </row>
    <row r="66" spans="2:9" x14ac:dyDescent="0.25">
      <c r="C66" s="69"/>
      <c r="D66" s="7" t="s">
        <v>133</v>
      </c>
      <c r="E66" s="123">
        <v>6.17</v>
      </c>
      <c r="F66" s="123">
        <v>6.17</v>
      </c>
      <c r="G66" s="70"/>
      <c r="H66" s="65">
        <v>210</v>
      </c>
      <c r="I66" s="119">
        <f t="shared" si="7"/>
        <v>1.2956999999999999</v>
      </c>
    </row>
    <row r="67" spans="2:9" x14ac:dyDescent="0.25">
      <c r="C67" s="69"/>
      <c r="D67" s="7" t="s">
        <v>125</v>
      </c>
      <c r="E67" s="123">
        <v>6.17</v>
      </c>
      <c r="F67" s="123">
        <v>6.17</v>
      </c>
      <c r="G67" s="70"/>
      <c r="H67" s="65">
        <v>163</v>
      </c>
      <c r="I67" s="119">
        <f t="shared" si="7"/>
        <v>1.0057100000000001</v>
      </c>
    </row>
    <row r="68" spans="2:9" x14ac:dyDescent="0.25">
      <c r="C68" s="69"/>
      <c r="D68" s="7" t="s">
        <v>321</v>
      </c>
      <c r="E68" s="123" t="s">
        <v>35</v>
      </c>
      <c r="F68" s="123">
        <v>51.43</v>
      </c>
      <c r="G68" s="70"/>
    </row>
    <row r="69" spans="2:9" x14ac:dyDescent="0.25">
      <c r="C69" s="69"/>
      <c r="D69" s="7" t="s">
        <v>322</v>
      </c>
      <c r="E69" s="123" t="s">
        <v>35</v>
      </c>
      <c r="F69" s="123">
        <v>128.57</v>
      </c>
      <c r="G69" s="70"/>
    </row>
    <row r="70" spans="2:9" x14ac:dyDescent="0.25">
      <c r="C70" s="69"/>
      <c r="D70" s="56" t="s">
        <v>156</v>
      </c>
      <c r="E70" s="123" t="s">
        <v>35</v>
      </c>
      <c r="F70" s="123" t="s">
        <v>35</v>
      </c>
      <c r="G70" s="70"/>
      <c r="I70" s="99">
        <f>SUM(I60:I69)</f>
        <v>74.309559999999991</v>
      </c>
    </row>
    <row r="71" spans="2:9" x14ac:dyDescent="0.25">
      <c r="C71" s="69"/>
      <c r="D71" s="136"/>
      <c r="E71" s="124"/>
      <c r="F71" s="124"/>
      <c r="G71" s="70"/>
      <c r="I71" s="99"/>
    </row>
    <row r="72" spans="2:9" x14ac:dyDescent="0.25">
      <c r="C72" s="69"/>
      <c r="D72" s="136"/>
      <c r="E72" s="124"/>
      <c r="F72" s="124"/>
      <c r="G72" s="70"/>
      <c r="I72" s="99"/>
    </row>
    <row r="73" spans="2:9" x14ac:dyDescent="0.25">
      <c r="D73" s="72"/>
      <c r="E73" s="72"/>
      <c r="F73" s="72"/>
    </row>
    <row r="74" spans="2:9" x14ac:dyDescent="0.25">
      <c r="B74" s="73" t="s">
        <v>157</v>
      </c>
      <c r="C74" s="65">
        <v>200</v>
      </c>
      <c r="D74" s="7" t="s">
        <v>33</v>
      </c>
      <c r="E74" s="19">
        <v>7</v>
      </c>
      <c r="F74" s="19">
        <v>7</v>
      </c>
      <c r="G74" s="70"/>
      <c r="H74" s="65">
        <v>80</v>
      </c>
      <c r="I74" s="119">
        <f t="shared" ref="I74:I75" si="8">H74/1000*E74</f>
        <v>0.56000000000000005</v>
      </c>
    </row>
    <row r="75" spans="2:9" x14ac:dyDescent="0.25">
      <c r="D75" s="7" t="s">
        <v>158</v>
      </c>
      <c r="E75" s="19">
        <v>26.8</v>
      </c>
      <c r="F75" s="19">
        <v>25</v>
      </c>
      <c r="G75" s="70"/>
      <c r="H75" s="65">
        <v>138</v>
      </c>
      <c r="I75" s="119">
        <f t="shared" si="8"/>
        <v>3.6984000000000004</v>
      </c>
    </row>
    <row r="76" spans="2:9" x14ac:dyDescent="0.25">
      <c r="D76" s="7" t="s">
        <v>32</v>
      </c>
      <c r="E76" s="19">
        <v>190</v>
      </c>
      <c r="F76" s="19">
        <v>190</v>
      </c>
      <c r="G76" s="70"/>
    </row>
    <row r="77" spans="2:9" x14ac:dyDescent="0.25">
      <c r="D77" s="56" t="s">
        <v>154</v>
      </c>
      <c r="E77" s="19" t="s">
        <v>35</v>
      </c>
      <c r="F77" s="19" t="s">
        <v>35</v>
      </c>
      <c r="G77" s="70"/>
      <c r="I77" s="99">
        <f>SUM(I74:I76)</f>
        <v>4.2584</v>
      </c>
    </row>
    <row r="79" spans="2:9" x14ac:dyDescent="0.25">
      <c r="B79" s="5" t="s">
        <v>90</v>
      </c>
      <c r="C79" s="8">
        <v>30</v>
      </c>
      <c r="D79" s="5" t="s">
        <v>90</v>
      </c>
      <c r="E79" s="8">
        <v>30</v>
      </c>
      <c r="F79" s="5"/>
      <c r="G79" s="5"/>
      <c r="H79" s="5">
        <v>55.1</v>
      </c>
      <c r="I79" s="51">
        <f t="shared" ref="I79:I81" si="9">H79/1000*E79</f>
        <v>1.653</v>
      </c>
    </row>
    <row r="80" spans="2:9" x14ac:dyDescent="0.25">
      <c r="I80" s="51"/>
    </row>
    <row r="81" spans="1:23" x14ac:dyDescent="0.25">
      <c r="B81" s="65" t="s">
        <v>145</v>
      </c>
      <c r="C81" s="65">
        <v>40</v>
      </c>
      <c r="D81" s="65" t="s">
        <v>145</v>
      </c>
      <c r="E81" s="65">
        <v>40</v>
      </c>
      <c r="H81" s="65">
        <v>35.9</v>
      </c>
      <c r="I81" s="51">
        <f t="shared" si="9"/>
        <v>1.4359999999999999</v>
      </c>
    </row>
    <row r="83" spans="1:23" x14ac:dyDescent="0.25">
      <c r="A83" s="15" t="s">
        <v>110</v>
      </c>
      <c r="B83" s="13"/>
      <c r="C83" s="64"/>
      <c r="D83" s="16"/>
      <c r="E83" s="16"/>
      <c r="F83" s="16"/>
      <c r="G83" s="13"/>
      <c r="H83" s="17"/>
      <c r="I83" s="53">
        <f>I91+I104+W105+I115+I12+I120+I123+I125</f>
        <v>63.751050000000006</v>
      </c>
    </row>
    <row r="84" spans="1:23" x14ac:dyDescent="0.25">
      <c r="B84" s="65" t="s">
        <v>159</v>
      </c>
      <c r="C84" s="65">
        <v>60</v>
      </c>
      <c r="D84" s="11" t="s">
        <v>160</v>
      </c>
      <c r="E84" s="84">
        <v>68</v>
      </c>
      <c r="F84" s="84">
        <v>52</v>
      </c>
      <c r="H84" s="65">
        <v>45</v>
      </c>
      <c r="I84" s="119">
        <f t="shared" ref="I84:I90" si="10">H84/1000*E84</f>
        <v>3.06</v>
      </c>
    </row>
    <row r="85" spans="1:23" x14ac:dyDescent="0.25">
      <c r="D85" s="11" t="s">
        <v>161</v>
      </c>
      <c r="E85" s="84">
        <v>5</v>
      </c>
      <c r="F85" s="84">
        <v>4</v>
      </c>
      <c r="H85" s="65">
        <v>700</v>
      </c>
      <c r="I85" s="119">
        <f t="shared" si="10"/>
        <v>3.5</v>
      </c>
    </row>
    <row r="86" spans="1:23" x14ac:dyDescent="0.25">
      <c r="D86" s="11" t="s">
        <v>162</v>
      </c>
      <c r="E86" s="84">
        <v>0.5</v>
      </c>
      <c r="F86" s="84">
        <v>0.5</v>
      </c>
      <c r="H86" s="65">
        <v>80</v>
      </c>
      <c r="I86" s="119">
        <f t="shared" si="10"/>
        <v>0.04</v>
      </c>
    </row>
    <row r="87" spans="1:23" x14ac:dyDescent="0.25">
      <c r="D87" s="11" t="s">
        <v>163</v>
      </c>
      <c r="E87" s="84">
        <v>3.5</v>
      </c>
      <c r="F87" s="84">
        <v>3.5</v>
      </c>
      <c r="H87" s="65">
        <v>163</v>
      </c>
      <c r="I87" s="119">
        <f t="shared" si="10"/>
        <v>0.57050000000000001</v>
      </c>
    </row>
    <row r="88" spans="1:23" x14ac:dyDescent="0.25">
      <c r="D88" s="11" t="s">
        <v>164</v>
      </c>
      <c r="E88" s="18">
        <v>4.5</v>
      </c>
      <c r="F88" s="84">
        <v>3.5</v>
      </c>
      <c r="H88" s="65">
        <v>700</v>
      </c>
      <c r="I88" s="119">
        <f t="shared" si="10"/>
        <v>3.15</v>
      </c>
    </row>
    <row r="89" spans="1:23" x14ac:dyDescent="0.25">
      <c r="D89" s="11" t="s">
        <v>142</v>
      </c>
      <c r="E89" s="84">
        <v>1.5</v>
      </c>
      <c r="F89" s="84">
        <v>1.5</v>
      </c>
      <c r="H89" s="65">
        <v>20</v>
      </c>
      <c r="I89" s="119">
        <f t="shared" si="10"/>
        <v>0.03</v>
      </c>
    </row>
    <row r="90" spans="1:23" x14ac:dyDescent="0.25">
      <c r="D90" s="11" t="s">
        <v>165</v>
      </c>
      <c r="E90" s="94">
        <v>0.01</v>
      </c>
      <c r="F90" s="94">
        <v>0.01</v>
      </c>
      <c r="H90" s="65">
        <v>500</v>
      </c>
      <c r="I90" s="119">
        <f t="shared" si="10"/>
        <v>5.0000000000000001E-3</v>
      </c>
    </row>
    <row r="91" spans="1:23" x14ac:dyDescent="0.25">
      <c r="D91" s="137" t="s">
        <v>112</v>
      </c>
      <c r="E91" s="137" t="s">
        <v>35</v>
      </c>
      <c r="F91" s="138">
        <v>60</v>
      </c>
      <c r="I91" s="99">
        <f>SUM(I84:I90)</f>
        <v>10.355500000000001</v>
      </c>
    </row>
    <row r="92" spans="1:23" x14ac:dyDescent="0.25">
      <c r="D92" s="71"/>
      <c r="E92" s="71"/>
      <c r="F92" s="71"/>
    </row>
    <row r="93" spans="1:23" ht="14.25" customHeight="1" x14ac:dyDescent="0.25">
      <c r="B93" s="73" t="s">
        <v>298</v>
      </c>
      <c r="C93" s="69">
        <v>200</v>
      </c>
      <c r="D93" s="7" t="s">
        <v>130</v>
      </c>
      <c r="E93" s="114">
        <v>80</v>
      </c>
      <c r="F93" s="114">
        <v>56</v>
      </c>
      <c r="G93" s="70"/>
      <c r="H93" s="65">
        <v>30</v>
      </c>
      <c r="I93" s="119">
        <f t="shared" ref="I93:I103" si="11">H93/1000*E93</f>
        <v>2.4</v>
      </c>
    </row>
    <row r="94" spans="1:23" ht="25.5" hidden="1" x14ac:dyDescent="0.25">
      <c r="C94" s="69"/>
      <c r="D94" s="7" t="s">
        <v>293</v>
      </c>
      <c r="E94" s="114">
        <v>56</v>
      </c>
      <c r="F94" s="114">
        <v>56</v>
      </c>
      <c r="G94" s="70"/>
      <c r="I94" s="119">
        <f t="shared" si="11"/>
        <v>0</v>
      </c>
    </row>
    <row r="95" spans="1:23" x14ac:dyDescent="0.25">
      <c r="C95" s="69"/>
      <c r="D95" s="7" t="s">
        <v>225</v>
      </c>
      <c r="E95" s="114">
        <v>16</v>
      </c>
      <c r="F95" s="114">
        <v>12.8</v>
      </c>
      <c r="G95" s="70"/>
      <c r="H95" s="65">
        <v>35</v>
      </c>
      <c r="I95" s="119">
        <f t="shared" si="11"/>
        <v>0.56000000000000005</v>
      </c>
    </row>
    <row r="96" spans="1:23" ht="0.75" hidden="1" customHeight="1" x14ac:dyDescent="0.25">
      <c r="C96" s="69"/>
      <c r="D96" s="7" t="s">
        <v>294</v>
      </c>
      <c r="E96" s="114">
        <v>12.8</v>
      </c>
      <c r="F96" s="114">
        <v>12.8</v>
      </c>
      <c r="G96" s="70"/>
      <c r="I96" s="119">
        <f t="shared" si="11"/>
        <v>0</v>
      </c>
      <c r="P96" s="73" t="s">
        <v>167</v>
      </c>
      <c r="Q96" s="129">
        <v>200</v>
      </c>
      <c r="R96" s="130" t="s">
        <v>130</v>
      </c>
      <c r="S96" s="112">
        <v>108.8</v>
      </c>
      <c r="T96" s="112">
        <v>80</v>
      </c>
      <c r="U96" s="131"/>
      <c r="V96" s="71">
        <v>27</v>
      </c>
      <c r="W96" s="71">
        <f t="shared" ref="W96" si="12">V96/1000*S96</f>
        <v>2.9375999999999998</v>
      </c>
    </row>
    <row r="97" spans="2:23" ht="14.25" customHeight="1" x14ac:dyDescent="0.25">
      <c r="C97" s="69"/>
      <c r="D97" s="7" t="s">
        <v>295</v>
      </c>
      <c r="E97" s="114">
        <v>10</v>
      </c>
      <c r="F97" s="114">
        <v>8.4</v>
      </c>
      <c r="G97" s="70"/>
      <c r="H97" s="65">
        <v>27</v>
      </c>
      <c r="I97" s="119">
        <f t="shared" si="11"/>
        <v>0.27</v>
      </c>
      <c r="P97" s="128"/>
      <c r="Q97" s="128"/>
      <c r="R97" s="132"/>
      <c r="S97" s="133"/>
      <c r="T97" s="133"/>
      <c r="U97" s="128"/>
      <c r="V97" s="128"/>
      <c r="W97" s="128"/>
    </row>
    <row r="98" spans="2:23" ht="3.75" hidden="1" customHeight="1" x14ac:dyDescent="0.25">
      <c r="C98" s="69"/>
      <c r="D98" s="7" t="s">
        <v>296</v>
      </c>
      <c r="E98" s="114">
        <v>8.4</v>
      </c>
      <c r="F98" s="114">
        <v>8.4</v>
      </c>
      <c r="G98" s="70"/>
      <c r="I98" s="119">
        <f t="shared" si="11"/>
        <v>0</v>
      </c>
      <c r="P98" s="128"/>
      <c r="Q98" s="128"/>
      <c r="R98" s="132"/>
      <c r="S98" s="133"/>
      <c r="T98" s="133"/>
      <c r="U98" s="128"/>
      <c r="V98" s="128"/>
      <c r="W98" s="128"/>
    </row>
    <row r="99" spans="2:23" x14ac:dyDescent="0.25">
      <c r="C99" s="69"/>
      <c r="D99" s="7" t="s">
        <v>297</v>
      </c>
      <c r="E99" s="114">
        <v>2</v>
      </c>
      <c r="F99" s="114">
        <v>1.48</v>
      </c>
      <c r="G99" s="70"/>
      <c r="H99" s="65">
        <v>700</v>
      </c>
      <c r="I99" s="119">
        <f t="shared" si="11"/>
        <v>1.4</v>
      </c>
      <c r="P99" s="128"/>
      <c r="Q99" s="128"/>
      <c r="R99" s="132"/>
      <c r="S99" s="133"/>
      <c r="T99" s="133"/>
      <c r="U99" s="128"/>
      <c r="V99" s="128"/>
      <c r="W99" s="128"/>
    </row>
    <row r="100" spans="2:23" x14ac:dyDescent="0.25">
      <c r="C100" s="69"/>
      <c r="D100" s="7" t="s">
        <v>30</v>
      </c>
      <c r="E100" s="114">
        <v>8</v>
      </c>
      <c r="F100" s="114">
        <v>8</v>
      </c>
      <c r="G100" s="70"/>
      <c r="H100" s="65">
        <v>35</v>
      </c>
      <c r="I100" s="119">
        <f t="shared" si="11"/>
        <v>0.28000000000000003</v>
      </c>
      <c r="P100" s="128"/>
      <c r="Q100" s="128"/>
      <c r="R100" s="132"/>
      <c r="S100" s="133"/>
      <c r="T100" s="133"/>
      <c r="U100" s="128"/>
      <c r="V100" s="128"/>
      <c r="W100" s="128"/>
    </row>
    <row r="101" spans="2:23" x14ac:dyDescent="0.25">
      <c r="C101" s="69"/>
      <c r="D101" s="7" t="s">
        <v>180</v>
      </c>
      <c r="E101" s="114">
        <v>8</v>
      </c>
      <c r="F101" s="114">
        <v>8</v>
      </c>
      <c r="G101" s="70"/>
      <c r="H101" s="5">
        <v>228</v>
      </c>
      <c r="I101" s="119">
        <f t="shared" si="11"/>
        <v>1.8240000000000001</v>
      </c>
      <c r="P101" s="128"/>
      <c r="Q101" s="128"/>
      <c r="R101" s="132"/>
      <c r="S101" s="133"/>
      <c r="T101" s="133"/>
      <c r="U101" s="128"/>
      <c r="V101" s="128"/>
      <c r="W101" s="128"/>
    </row>
    <row r="102" spans="2:23" ht="15.75" customHeight="1" x14ac:dyDescent="0.25">
      <c r="C102" s="69"/>
      <c r="D102" s="7" t="s">
        <v>32</v>
      </c>
      <c r="E102" s="114">
        <v>240</v>
      </c>
      <c r="F102" s="114">
        <v>240</v>
      </c>
      <c r="G102" s="70"/>
      <c r="H102" s="65">
        <v>0</v>
      </c>
      <c r="I102" s="119">
        <f t="shared" si="11"/>
        <v>0</v>
      </c>
      <c r="P102" s="128"/>
      <c r="Q102" s="128"/>
      <c r="R102" s="132"/>
      <c r="S102" s="133"/>
      <c r="T102" s="133"/>
      <c r="U102" s="128"/>
      <c r="V102" s="128"/>
      <c r="W102" s="128"/>
    </row>
    <row r="103" spans="2:23" x14ac:dyDescent="0.25">
      <c r="C103" s="69"/>
      <c r="D103" s="7" t="s">
        <v>34</v>
      </c>
      <c r="E103" s="114">
        <v>0.7</v>
      </c>
      <c r="F103" s="114">
        <v>0.7</v>
      </c>
      <c r="G103" s="70"/>
      <c r="H103" s="65">
        <v>20</v>
      </c>
      <c r="I103" s="119">
        <f t="shared" si="11"/>
        <v>1.3999999999999999E-2</v>
      </c>
      <c r="P103" s="128"/>
      <c r="Q103" s="128"/>
      <c r="R103" s="132"/>
      <c r="S103" s="133"/>
      <c r="T103" s="133"/>
      <c r="U103" s="128"/>
      <c r="V103" s="128"/>
      <c r="W103" s="128"/>
    </row>
    <row r="104" spans="2:23" x14ac:dyDescent="0.25">
      <c r="C104" s="69"/>
      <c r="D104" s="56" t="s">
        <v>154</v>
      </c>
      <c r="E104" s="114" t="s">
        <v>35</v>
      </c>
      <c r="F104" s="114" t="s">
        <v>35</v>
      </c>
      <c r="G104" s="70"/>
      <c r="I104" s="99">
        <f>SUM(I93:I103)</f>
        <v>6.7480000000000002</v>
      </c>
      <c r="P104" s="128"/>
      <c r="Q104" s="128"/>
      <c r="R104" s="132"/>
      <c r="S104" s="133"/>
      <c r="T104" s="133"/>
      <c r="U104" s="128"/>
      <c r="V104" s="128"/>
      <c r="W104" s="128"/>
    </row>
    <row r="105" spans="2:23" x14ac:dyDescent="0.25">
      <c r="D105" s="72"/>
      <c r="E105" s="72"/>
      <c r="F105" s="72"/>
      <c r="P105" s="128"/>
      <c r="Q105" s="128"/>
      <c r="R105" s="134"/>
      <c r="S105" s="133"/>
      <c r="T105" s="133"/>
      <c r="U105" s="128"/>
      <c r="V105" s="128"/>
      <c r="W105" s="135"/>
    </row>
    <row r="106" spans="2:23" x14ac:dyDescent="0.25">
      <c r="D106" s="74"/>
      <c r="E106" s="74"/>
      <c r="F106" s="74"/>
    </row>
    <row r="107" spans="2:23" x14ac:dyDescent="0.25">
      <c r="B107" s="2" t="s">
        <v>169</v>
      </c>
      <c r="C107" s="69">
        <v>180</v>
      </c>
      <c r="D107" s="7" t="s">
        <v>170</v>
      </c>
      <c r="E107" s="19">
        <v>108.54</v>
      </c>
      <c r="F107" s="19">
        <v>96.03</v>
      </c>
      <c r="G107" s="70"/>
      <c r="H107" s="65">
        <v>270</v>
      </c>
      <c r="I107" s="119">
        <f t="shared" ref="I107:I114" si="13">H107/1000*E107</f>
        <v>29.305800000000005</v>
      </c>
    </row>
    <row r="108" spans="2:23" x14ac:dyDescent="0.25">
      <c r="C108" s="69"/>
      <c r="D108" s="7" t="s">
        <v>29</v>
      </c>
      <c r="E108" s="19">
        <v>40.770000000000003</v>
      </c>
      <c r="F108" s="19">
        <v>40.770000000000003</v>
      </c>
      <c r="G108" s="70"/>
      <c r="H108" s="65">
        <v>94</v>
      </c>
      <c r="I108" s="119">
        <f t="shared" si="13"/>
        <v>3.8323800000000001</v>
      </c>
    </row>
    <row r="109" spans="2:23" x14ac:dyDescent="0.25">
      <c r="C109" s="69"/>
      <c r="D109" s="7" t="s">
        <v>133</v>
      </c>
      <c r="E109" s="19">
        <v>9.6300000000000008</v>
      </c>
      <c r="F109" s="95">
        <v>23255</v>
      </c>
      <c r="G109" s="70"/>
      <c r="H109" s="65">
        <v>210</v>
      </c>
      <c r="I109" s="119">
        <f t="shared" si="13"/>
        <v>2.0223</v>
      </c>
    </row>
    <row r="110" spans="2:23" x14ac:dyDescent="0.25">
      <c r="C110" s="69"/>
      <c r="D110" s="7" t="s">
        <v>132</v>
      </c>
      <c r="E110" s="19">
        <v>7.56</v>
      </c>
      <c r="F110" s="19">
        <v>6.03</v>
      </c>
      <c r="G110" s="70"/>
      <c r="H110" s="65">
        <v>27</v>
      </c>
      <c r="I110" s="119">
        <f t="shared" si="13"/>
        <v>0.20412</v>
      </c>
    </row>
    <row r="111" spans="2:23" x14ac:dyDescent="0.25">
      <c r="C111" s="69"/>
      <c r="D111" s="7" t="s">
        <v>131</v>
      </c>
      <c r="E111" s="19">
        <v>12.06</v>
      </c>
      <c r="F111" s="19">
        <v>9.6300000000000008</v>
      </c>
      <c r="G111" s="70"/>
      <c r="H111" s="65">
        <v>35</v>
      </c>
      <c r="I111" s="119">
        <f t="shared" si="13"/>
        <v>0.42210000000000003</v>
      </c>
    </row>
    <row r="112" spans="2:23" x14ac:dyDescent="0.25">
      <c r="C112" s="69"/>
      <c r="D112" s="7" t="s">
        <v>125</v>
      </c>
      <c r="E112" s="19">
        <v>6.03</v>
      </c>
      <c r="F112" s="19">
        <v>6.03</v>
      </c>
      <c r="G112" s="70"/>
      <c r="H112" s="65">
        <v>163</v>
      </c>
      <c r="I112" s="119">
        <f t="shared" si="13"/>
        <v>0.98289000000000004</v>
      </c>
    </row>
    <row r="113" spans="1:9" x14ac:dyDescent="0.25">
      <c r="C113" s="69"/>
      <c r="D113" s="7" t="s">
        <v>34</v>
      </c>
      <c r="E113" s="19">
        <v>0.72</v>
      </c>
      <c r="F113" s="19">
        <v>0.72</v>
      </c>
      <c r="G113" s="70"/>
      <c r="H113" s="65">
        <v>15</v>
      </c>
      <c r="I113" s="119">
        <f t="shared" si="13"/>
        <v>1.0799999999999999E-2</v>
      </c>
    </row>
    <row r="114" spans="1:9" x14ac:dyDescent="0.25">
      <c r="C114" s="69"/>
      <c r="D114" s="7" t="s">
        <v>32</v>
      </c>
      <c r="E114" s="19">
        <v>163.26</v>
      </c>
      <c r="F114" s="19">
        <v>163.26</v>
      </c>
      <c r="G114" s="70"/>
      <c r="H114" s="65">
        <v>0</v>
      </c>
      <c r="I114" s="119">
        <f t="shared" si="13"/>
        <v>0</v>
      </c>
    </row>
    <row r="115" spans="1:9" x14ac:dyDescent="0.25">
      <c r="C115" s="69"/>
      <c r="D115" s="56" t="s">
        <v>156</v>
      </c>
      <c r="E115" s="19" t="s">
        <v>35</v>
      </c>
      <c r="F115" s="19" t="s">
        <v>35</v>
      </c>
      <c r="G115" s="70"/>
      <c r="I115" s="99">
        <f>SUM(I107:I114)</f>
        <v>36.780390000000011</v>
      </c>
    </row>
    <row r="116" spans="1:9" x14ac:dyDescent="0.25">
      <c r="D116" s="72"/>
      <c r="E116" s="72"/>
      <c r="F116" s="72"/>
    </row>
    <row r="117" spans="1:9" ht="25.5" x14ac:dyDescent="0.25">
      <c r="B117" s="65" t="s">
        <v>184</v>
      </c>
      <c r="C117" s="69">
        <v>200</v>
      </c>
      <c r="D117" s="7" t="s">
        <v>183</v>
      </c>
      <c r="E117" s="114">
        <v>24</v>
      </c>
      <c r="F117" s="114">
        <v>24</v>
      </c>
      <c r="G117" s="70"/>
      <c r="H117" s="65">
        <v>209.09</v>
      </c>
      <c r="I117" s="46">
        <f t="shared" ref="I117:I119" si="14">H117/1000*E117</f>
        <v>5.01816</v>
      </c>
    </row>
    <row r="118" spans="1:9" x14ac:dyDescent="0.25">
      <c r="C118" s="69"/>
      <c r="D118" s="7" t="s">
        <v>33</v>
      </c>
      <c r="E118" s="114">
        <v>10</v>
      </c>
      <c r="F118" s="114">
        <v>10</v>
      </c>
      <c r="G118" s="70"/>
      <c r="H118" s="65">
        <v>80</v>
      </c>
      <c r="I118" s="46">
        <f t="shared" si="14"/>
        <v>0.8</v>
      </c>
    </row>
    <row r="119" spans="1:9" x14ac:dyDescent="0.25">
      <c r="C119" s="69"/>
      <c r="D119" s="7" t="s">
        <v>32</v>
      </c>
      <c r="E119" s="114">
        <v>190</v>
      </c>
      <c r="F119" s="114">
        <v>190</v>
      </c>
      <c r="G119" s="70"/>
      <c r="I119" s="46">
        <f t="shared" si="14"/>
        <v>0</v>
      </c>
    </row>
    <row r="120" spans="1:9" x14ac:dyDescent="0.25">
      <c r="C120" s="69"/>
      <c r="D120" s="56" t="s">
        <v>154</v>
      </c>
      <c r="E120" s="114" t="s">
        <v>35</v>
      </c>
      <c r="F120" s="114" t="s">
        <v>35</v>
      </c>
      <c r="G120" s="70"/>
      <c r="I120" s="99">
        <f>SUM(I117:I119)</f>
        <v>5.8181599999999998</v>
      </c>
    </row>
    <row r="121" spans="1:9" x14ac:dyDescent="0.25">
      <c r="B121" s="5"/>
      <c r="C121" s="8"/>
      <c r="D121" s="47"/>
      <c r="E121" s="55"/>
      <c r="F121" s="55"/>
      <c r="G121" s="5"/>
      <c r="H121" s="5"/>
      <c r="I121" s="51"/>
    </row>
    <row r="123" spans="1:9" x14ac:dyDescent="0.25">
      <c r="B123" s="5" t="s">
        <v>90</v>
      </c>
      <c r="C123" s="8">
        <v>30</v>
      </c>
      <c r="D123" s="5" t="s">
        <v>90</v>
      </c>
      <c r="E123" s="8">
        <v>30</v>
      </c>
      <c r="F123" s="5"/>
      <c r="G123" s="5"/>
      <c r="H123" s="5">
        <v>55.1</v>
      </c>
      <c r="I123" s="51">
        <f t="shared" ref="I123:I125" si="15">H123/1000*E123</f>
        <v>1.653</v>
      </c>
    </row>
    <row r="124" spans="1:9" x14ac:dyDescent="0.25">
      <c r="I124" s="51"/>
    </row>
    <row r="125" spans="1:9" x14ac:dyDescent="0.25">
      <c r="B125" s="65" t="s">
        <v>145</v>
      </c>
      <c r="C125" s="65">
        <v>40</v>
      </c>
      <c r="D125" s="65" t="s">
        <v>145</v>
      </c>
      <c r="E125" s="65">
        <v>40</v>
      </c>
      <c r="H125" s="65">
        <v>35.9</v>
      </c>
      <c r="I125" s="51">
        <f t="shared" si="15"/>
        <v>1.4359999999999999</v>
      </c>
    </row>
    <row r="127" spans="1:9" x14ac:dyDescent="0.25">
      <c r="A127" s="15" t="s">
        <v>115</v>
      </c>
      <c r="B127" s="13"/>
      <c r="C127" s="64"/>
      <c r="D127" s="16"/>
      <c r="E127" s="16"/>
      <c r="F127" s="16"/>
      <c r="G127" s="13"/>
      <c r="H127" s="17"/>
      <c r="I127" s="53">
        <f>I128+I139+I145+I153+I158+I160+I162</f>
        <v>56.830399999999997</v>
      </c>
    </row>
    <row r="128" spans="1:9" x14ac:dyDescent="0.25">
      <c r="B128" s="65" t="s">
        <v>171</v>
      </c>
      <c r="C128" s="65">
        <v>60</v>
      </c>
      <c r="D128" s="65" t="s">
        <v>171</v>
      </c>
      <c r="E128" s="65">
        <v>60</v>
      </c>
      <c r="H128" s="5">
        <v>60</v>
      </c>
      <c r="I128" s="51">
        <f t="shared" ref="I128" si="16">H128/1000*E128</f>
        <v>3.5999999999999996</v>
      </c>
    </row>
    <row r="130" spans="2:9" ht="25.5" x14ac:dyDescent="0.25">
      <c r="B130" s="2" t="s">
        <v>101</v>
      </c>
      <c r="C130" s="69">
        <v>200</v>
      </c>
      <c r="D130" s="7" t="s">
        <v>130</v>
      </c>
      <c r="E130" s="114">
        <v>54.4</v>
      </c>
      <c r="F130" s="114">
        <v>40</v>
      </c>
      <c r="G130" s="70"/>
      <c r="H130" s="65">
        <v>30</v>
      </c>
      <c r="I130" s="119">
        <f t="shared" ref="I130:I138" si="17">H130/1000*E130</f>
        <v>1.6319999999999999</v>
      </c>
    </row>
    <row r="131" spans="2:9" x14ac:dyDescent="0.25">
      <c r="C131" s="69"/>
      <c r="D131" s="7" t="s">
        <v>191</v>
      </c>
      <c r="E131" s="114">
        <v>16</v>
      </c>
      <c r="F131" s="114">
        <v>16</v>
      </c>
      <c r="G131" s="70"/>
      <c r="H131" s="65">
        <v>315</v>
      </c>
      <c r="I131" s="119">
        <f t="shared" si="17"/>
        <v>5.04</v>
      </c>
    </row>
    <row r="132" spans="2:9" x14ac:dyDescent="0.25">
      <c r="C132" s="69"/>
      <c r="D132" s="7" t="s">
        <v>132</v>
      </c>
      <c r="E132" s="114">
        <v>10</v>
      </c>
      <c r="F132" s="114">
        <v>8</v>
      </c>
      <c r="G132" s="70"/>
      <c r="H132" s="65">
        <v>27</v>
      </c>
      <c r="I132" s="119">
        <f t="shared" si="17"/>
        <v>0.27</v>
      </c>
    </row>
    <row r="133" spans="2:9" x14ac:dyDescent="0.25">
      <c r="C133" s="69"/>
      <c r="D133" s="7" t="s">
        <v>131</v>
      </c>
      <c r="E133" s="114">
        <v>12.5</v>
      </c>
      <c r="F133" s="114">
        <v>10</v>
      </c>
      <c r="G133" s="70"/>
      <c r="H133" s="65">
        <v>35</v>
      </c>
      <c r="I133" s="119">
        <f t="shared" si="17"/>
        <v>0.43750000000000006</v>
      </c>
    </row>
    <row r="134" spans="2:9" x14ac:dyDescent="0.25">
      <c r="C134" s="69"/>
      <c r="D134" s="7" t="s">
        <v>125</v>
      </c>
      <c r="E134" s="114">
        <v>4</v>
      </c>
      <c r="F134" s="114">
        <v>4</v>
      </c>
      <c r="G134" s="70"/>
      <c r="H134" s="65">
        <v>163</v>
      </c>
      <c r="I134" s="119">
        <f t="shared" si="17"/>
        <v>0.65200000000000002</v>
      </c>
    </row>
    <row r="135" spans="2:9" x14ac:dyDescent="0.25">
      <c r="C135" s="69"/>
      <c r="D135" s="7" t="s">
        <v>151</v>
      </c>
      <c r="E135" s="114">
        <v>0.04</v>
      </c>
      <c r="F135" s="114">
        <v>0.04</v>
      </c>
      <c r="G135" s="70"/>
      <c r="H135" s="65">
        <v>1000</v>
      </c>
      <c r="I135" s="119">
        <f t="shared" si="17"/>
        <v>0.04</v>
      </c>
    </row>
    <row r="136" spans="2:9" x14ac:dyDescent="0.25">
      <c r="C136" s="69"/>
      <c r="D136" s="7" t="s">
        <v>34</v>
      </c>
      <c r="E136" s="114">
        <v>0.3</v>
      </c>
      <c r="F136" s="114">
        <v>0.3</v>
      </c>
      <c r="G136" s="70"/>
      <c r="H136" s="65">
        <v>20</v>
      </c>
      <c r="I136" s="119">
        <f t="shared" si="17"/>
        <v>6.0000000000000001E-3</v>
      </c>
    </row>
    <row r="137" spans="2:9" x14ac:dyDescent="0.25">
      <c r="C137" s="69"/>
      <c r="D137" s="7" t="s">
        <v>193</v>
      </c>
      <c r="E137" s="114">
        <v>140</v>
      </c>
      <c r="F137" s="114">
        <v>140</v>
      </c>
      <c r="G137" s="70"/>
      <c r="I137" s="119">
        <f t="shared" si="17"/>
        <v>0</v>
      </c>
    </row>
    <row r="138" spans="2:9" x14ac:dyDescent="0.25">
      <c r="C138" s="69"/>
      <c r="D138" s="7" t="s">
        <v>153</v>
      </c>
      <c r="E138" s="114">
        <v>140</v>
      </c>
      <c r="F138" s="114">
        <v>140</v>
      </c>
      <c r="G138" s="70"/>
      <c r="I138" s="119">
        <f t="shared" si="17"/>
        <v>0</v>
      </c>
    </row>
    <row r="139" spans="2:9" x14ac:dyDescent="0.25">
      <c r="C139" s="69"/>
      <c r="D139" s="56" t="s">
        <v>154</v>
      </c>
      <c r="E139" s="114" t="s">
        <v>35</v>
      </c>
      <c r="F139" s="114" t="s">
        <v>35</v>
      </c>
      <c r="G139" s="70"/>
      <c r="I139" s="99">
        <f>SUM(I130:I138)</f>
        <v>8.0774999999999988</v>
      </c>
    </row>
    <row r="140" spans="2:9" x14ac:dyDescent="0.25">
      <c r="B140" s="128"/>
      <c r="C140" s="69"/>
      <c r="D140" s="56"/>
      <c r="E140" s="114"/>
      <c r="F140" s="114"/>
      <c r="G140" s="70"/>
      <c r="I140" s="99"/>
    </row>
    <row r="141" spans="2:9" x14ac:dyDescent="0.25">
      <c r="B141" s="73" t="s">
        <v>176</v>
      </c>
      <c r="C141" s="69">
        <v>150</v>
      </c>
      <c r="D141" s="7" t="s">
        <v>130</v>
      </c>
      <c r="E141" s="19">
        <v>171.41</v>
      </c>
      <c r="F141" s="19">
        <v>126</v>
      </c>
      <c r="G141" s="70"/>
      <c r="H141" s="65">
        <v>30</v>
      </c>
      <c r="I141" s="46">
        <f t="shared" ref="I141:I144" si="18">H141/1000*E141</f>
        <v>5.1422999999999996</v>
      </c>
    </row>
    <row r="142" spans="2:9" x14ac:dyDescent="0.25">
      <c r="C142" s="69"/>
      <c r="D142" s="7" t="s">
        <v>31</v>
      </c>
      <c r="E142" s="19">
        <v>24</v>
      </c>
      <c r="F142" s="19">
        <v>24</v>
      </c>
      <c r="G142" s="70"/>
      <c r="H142" s="65">
        <v>69</v>
      </c>
      <c r="I142" s="46">
        <f t="shared" si="18"/>
        <v>1.6560000000000001</v>
      </c>
    </row>
    <row r="143" spans="2:9" x14ac:dyDescent="0.25">
      <c r="C143" s="69"/>
      <c r="D143" s="7" t="s">
        <v>22</v>
      </c>
      <c r="E143" s="19">
        <v>6.8</v>
      </c>
      <c r="F143" s="19">
        <v>6.8</v>
      </c>
      <c r="G143" s="70"/>
      <c r="H143" s="65">
        <v>990</v>
      </c>
      <c r="I143" s="46">
        <f t="shared" si="18"/>
        <v>6.7320000000000002</v>
      </c>
    </row>
    <row r="144" spans="2:9" x14ac:dyDescent="0.25">
      <c r="C144" s="69"/>
      <c r="D144" s="7" t="s">
        <v>34</v>
      </c>
      <c r="E144" s="19">
        <v>0.5</v>
      </c>
      <c r="F144" s="19">
        <v>0.5</v>
      </c>
      <c r="G144" s="70"/>
      <c r="H144" s="65">
        <v>20</v>
      </c>
      <c r="I144" s="46">
        <f t="shared" si="18"/>
        <v>0.01</v>
      </c>
    </row>
    <row r="145" spans="2:9" x14ac:dyDescent="0.25">
      <c r="C145" s="69"/>
      <c r="D145" s="56" t="s">
        <v>177</v>
      </c>
      <c r="E145" s="19" t="s">
        <v>35</v>
      </c>
      <c r="F145" s="19" t="s">
        <v>35</v>
      </c>
      <c r="G145" s="70"/>
      <c r="I145" s="99">
        <f>SUM(I141:I144)</f>
        <v>13.5403</v>
      </c>
    </row>
    <row r="146" spans="2:9" x14ac:dyDescent="0.25">
      <c r="D146" s="72"/>
      <c r="E146" s="72"/>
      <c r="F146" s="72"/>
    </row>
    <row r="147" spans="2:9" x14ac:dyDescent="0.25">
      <c r="B147" s="65" t="s">
        <v>96</v>
      </c>
      <c r="C147" s="65">
        <v>90</v>
      </c>
      <c r="D147" s="11" t="s">
        <v>179</v>
      </c>
      <c r="E147" s="84">
        <v>120</v>
      </c>
      <c r="F147" s="84">
        <v>102</v>
      </c>
      <c r="H147" s="65">
        <v>149.13</v>
      </c>
      <c r="I147" s="46">
        <f t="shared" ref="I147:I152" si="19">H147/1000*E147</f>
        <v>17.895599999999998</v>
      </c>
    </row>
    <row r="148" spans="2:9" x14ac:dyDescent="0.25">
      <c r="D148" s="11" t="s">
        <v>180</v>
      </c>
      <c r="E148" s="84">
        <v>10</v>
      </c>
      <c r="F148" s="84">
        <v>10</v>
      </c>
      <c r="H148" s="65">
        <v>228</v>
      </c>
      <c r="I148" s="46">
        <f t="shared" si="19"/>
        <v>2.2800000000000002</v>
      </c>
    </row>
    <row r="149" spans="2:9" x14ac:dyDescent="0.25">
      <c r="D149" s="11" t="s">
        <v>181</v>
      </c>
      <c r="E149" s="84">
        <v>10</v>
      </c>
      <c r="F149" s="84">
        <v>10</v>
      </c>
      <c r="I149" s="46">
        <f t="shared" si="19"/>
        <v>0</v>
      </c>
    </row>
    <row r="150" spans="2:9" x14ac:dyDescent="0.25">
      <c r="D150" s="11" t="s">
        <v>182</v>
      </c>
      <c r="E150" s="84">
        <v>3</v>
      </c>
      <c r="F150" s="84">
        <v>3</v>
      </c>
      <c r="H150" s="65">
        <v>39</v>
      </c>
      <c r="I150" s="46">
        <f t="shared" si="19"/>
        <v>0.11699999999999999</v>
      </c>
    </row>
    <row r="151" spans="2:9" x14ac:dyDescent="0.25">
      <c r="D151" s="11" t="s">
        <v>22</v>
      </c>
      <c r="E151" s="84">
        <v>3</v>
      </c>
      <c r="F151" s="84">
        <v>3</v>
      </c>
      <c r="H151" s="65">
        <v>990</v>
      </c>
      <c r="I151" s="46">
        <f t="shared" si="19"/>
        <v>2.9699999999999998</v>
      </c>
    </row>
    <row r="152" spans="2:9" x14ac:dyDescent="0.25">
      <c r="D152" s="11" t="s">
        <v>142</v>
      </c>
      <c r="E152" s="84">
        <v>0.3</v>
      </c>
      <c r="F152" s="84">
        <v>0.3</v>
      </c>
      <c r="H152" s="65">
        <v>20</v>
      </c>
      <c r="I152" s="46">
        <f t="shared" si="19"/>
        <v>6.0000000000000001E-3</v>
      </c>
    </row>
    <row r="153" spans="2:9" x14ac:dyDescent="0.25">
      <c r="D153" s="12" t="s">
        <v>112</v>
      </c>
      <c r="E153" s="12" t="s">
        <v>35</v>
      </c>
      <c r="F153" s="79">
        <v>90</v>
      </c>
      <c r="I153" s="99">
        <f>SUM(I147:I152)</f>
        <v>23.268599999999999</v>
      </c>
    </row>
    <row r="154" spans="2:9" x14ac:dyDescent="0.25">
      <c r="D154" s="71"/>
      <c r="E154" s="71"/>
      <c r="F154" s="71"/>
    </row>
    <row r="155" spans="2:9" x14ac:dyDescent="0.25">
      <c r="B155" s="65" t="s">
        <v>299</v>
      </c>
      <c r="C155" s="69">
        <v>200</v>
      </c>
      <c r="D155" s="7" t="s">
        <v>300</v>
      </c>
      <c r="E155" s="114">
        <v>17</v>
      </c>
      <c r="F155" s="114">
        <v>7</v>
      </c>
      <c r="G155" s="70"/>
      <c r="H155" s="65">
        <v>215</v>
      </c>
      <c r="I155" s="46">
        <f t="shared" ref="I155:I157" si="20">H155/1000*E155</f>
        <v>3.6549999999999998</v>
      </c>
    </row>
    <row r="156" spans="2:9" x14ac:dyDescent="0.25">
      <c r="C156" s="69"/>
      <c r="D156" s="7" t="s">
        <v>32</v>
      </c>
      <c r="E156" s="114">
        <v>214</v>
      </c>
      <c r="F156" s="114">
        <v>214</v>
      </c>
      <c r="G156" s="70"/>
      <c r="H156" s="65">
        <v>0</v>
      </c>
      <c r="I156" s="46">
        <f t="shared" si="20"/>
        <v>0</v>
      </c>
    </row>
    <row r="157" spans="2:9" x14ac:dyDescent="0.25">
      <c r="C157" s="69"/>
      <c r="D157" s="7" t="s">
        <v>33</v>
      </c>
      <c r="E157" s="114">
        <v>20</v>
      </c>
      <c r="F157" s="114">
        <v>20</v>
      </c>
      <c r="G157" s="70"/>
      <c r="H157" s="65">
        <v>80</v>
      </c>
      <c r="I157" s="46">
        <f t="shared" si="20"/>
        <v>1.6</v>
      </c>
    </row>
    <row r="158" spans="2:9" x14ac:dyDescent="0.25">
      <c r="C158" s="69"/>
      <c r="D158" s="56" t="s">
        <v>154</v>
      </c>
      <c r="E158" s="114" t="s">
        <v>35</v>
      </c>
      <c r="F158" s="114" t="s">
        <v>35</v>
      </c>
      <c r="G158" s="70"/>
      <c r="I158" s="99">
        <f>SUM(I155:I157)</f>
        <v>5.2549999999999999</v>
      </c>
    </row>
    <row r="159" spans="2:9" x14ac:dyDescent="0.25">
      <c r="D159" s="72"/>
      <c r="E159" s="72"/>
      <c r="F159" s="72"/>
    </row>
    <row r="160" spans="2:9" x14ac:dyDescent="0.25">
      <c r="B160" s="5" t="s">
        <v>90</v>
      </c>
      <c r="C160" s="8">
        <v>30</v>
      </c>
      <c r="D160" s="5" t="s">
        <v>90</v>
      </c>
      <c r="E160" s="8">
        <v>30</v>
      </c>
      <c r="F160" s="5"/>
      <c r="G160" s="5"/>
      <c r="H160" s="5">
        <v>55.1</v>
      </c>
      <c r="I160" s="51">
        <f t="shared" ref="I160" si="21">H160/1000*E160</f>
        <v>1.653</v>
      </c>
    </row>
    <row r="161" spans="1:9" x14ac:dyDescent="0.25">
      <c r="I161" s="51"/>
    </row>
    <row r="162" spans="1:9" x14ac:dyDescent="0.25">
      <c r="B162" s="65" t="s">
        <v>145</v>
      </c>
      <c r="C162" s="65">
        <v>40</v>
      </c>
      <c r="D162" s="65" t="s">
        <v>145</v>
      </c>
      <c r="E162" s="65">
        <v>40</v>
      </c>
      <c r="H162" s="65">
        <v>35.9</v>
      </c>
      <c r="I162" s="51">
        <f t="shared" ref="I162" si="22">H162/1000*E162</f>
        <v>1.4359999999999999</v>
      </c>
    </row>
    <row r="164" spans="1:9" x14ac:dyDescent="0.25">
      <c r="A164" s="15" t="s">
        <v>120</v>
      </c>
      <c r="B164" s="13"/>
      <c r="C164" s="64"/>
      <c r="D164" s="16"/>
      <c r="E164" s="16"/>
      <c r="F164" s="16"/>
      <c r="G164" s="13"/>
      <c r="H164" s="17"/>
      <c r="I164" s="53">
        <f>I172+I185+I191+I203+I208+I210+I212</f>
        <v>104.695145</v>
      </c>
    </row>
    <row r="165" spans="1:9" ht="14.25" customHeight="1" x14ac:dyDescent="0.25">
      <c r="B165" s="65" t="s">
        <v>159</v>
      </c>
      <c r="C165" s="65">
        <v>60</v>
      </c>
      <c r="D165" s="11" t="s">
        <v>160</v>
      </c>
      <c r="E165" s="84">
        <v>68</v>
      </c>
      <c r="F165" s="84">
        <v>52</v>
      </c>
      <c r="H165" s="65">
        <v>45</v>
      </c>
      <c r="I165" s="119">
        <f t="shared" ref="I165:I171" si="23">H165/1000*E165</f>
        <v>3.06</v>
      </c>
    </row>
    <row r="166" spans="1:9" x14ac:dyDescent="0.25">
      <c r="D166" s="11" t="s">
        <v>161</v>
      </c>
      <c r="E166" s="84">
        <v>5</v>
      </c>
      <c r="F166" s="84">
        <v>4</v>
      </c>
      <c r="H166" s="65">
        <v>700</v>
      </c>
      <c r="I166" s="119">
        <f t="shared" si="23"/>
        <v>3.5</v>
      </c>
    </row>
    <row r="167" spans="1:9" x14ac:dyDescent="0.25">
      <c r="D167" s="11" t="s">
        <v>162</v>
      </c>
      <c r="E167" s="84">
        <v>0.5</v>
      </c>
      <c r="F167" s="84">
        <v>0.5</v>
      </c>
      <c r="H167" s="65">
        <v>80</v>
      </c>
      <c r="I167" s="119">
        <f t="shared" si="23"/>
        <v>0.04</v>
      </c>
    </row>
    <row r="168" spans="1:9" x14ac:dyDescent="0.25">
      <c r="D168" s="11" t="s">
        <v>163</v>
      </c>
      <c r="E168" s="84">
        <v>3.5</v>
      </c>
      <c r="F168" s="84">
        <v>3.5</v>
      </c>
      <c r="H168" s="65">
        <v>163</v>
      </c>
      <c r="I168" s="119">
        <f t="shared" si="23"/>
        <v>0.57050000000000001</v>
      </c>
    </row>
    <row r="169" spans="1:9" x14ac:dyDescent="0.25">
      <c r="D169" s="11" t="s">
        <v>164</v>
      </c>
      <c r="E169" s="18">
        <v>4.5</v>
      </c>
      <c r="F169" s="84">
        <v>3.5</v>
      </c>
      <c r="H169" s="65">
        <v>700</v>
      </c>
      <c r="I169" s="119">
        <f t="shared" si="23"/>
        <v>3.15</v>
      </c>
    </row>
    <row r="170" spans="1:9" x14ac:dyDescent="0.25">
      <c r="D170" s="11" t="s">
        <v>142</v>
      </c>
      <c r="E170" s="84">
        <v>1.5</v>
      </c>
      <c r="F170" s="84">
        <v>1.5</v>
      </c>
      <c r="H170" s="65">
        <v>20</v>
      </c>
      <c r="I170" s="119">
        <f t="shared" si="23"/>
        <v>0.03</v>
      </c>
    </row>
    <row r="171" spans="1:9" x14ac:dyDescent="0.25">
      <c r="D171" s="11" t="s">
        <v>165</v>
      </c>
      <c r="E171" s="94">
        <v>0.01</v>
      </c>
      <c r="F171" s="94">
        <v>0.01</v>
      </c>
      <c r="H171" s="65">
        <v>500</v>
      </c>
      <c r="I171" s="119">
        <f t="shared" si="23"/>
        <v>5.0000000000000001E-3</v>
      </c>
    </row>
    <row r="172" spans="1:9" x14ac:dyDescent="0.25">
      <c r="D172" s="137" t="s">
        <v>112</v>
      </c>
      <c r="E172" s="137" t="s">
        <v>35</v>
      </c>
      <c r="F172" s="138">
        <v>60</v>
      </c>
      <c r="I172" s="99">
        <f>SUM(I165:I171)</f>
        <v>10.355500000000001</v>
      </c>
    </row>
    <row r="173" spans="1:9" x14ac:dyDescent="0.25">
      <c r="D173" s="71"/>
      <c r="E173" s="71"/>
      <c r="F173" s="71"/>
    </row>
    <row r="174" spans="1:9" x14ac:dyDescent="0.25">
      <c r="B174" s="89" t="s">
        <v>185</v>
      </c>
      <c r="C174" s="69">
        <v>200</v>
      </c>
      <c r="D174" s="7" t="s">
        <v>180</v>
      </c>
      <c r="E174" s="19">
        <v>10</v>
      </c>
      <c r="F174" s="19">
        <v>10</v>
      </c>
      <c r="G174" s="70"/>
      <c r="H174" s="65">
        <v>228</v>
      </c>
      <c r="I174" s="119">
        <f t="shared" ref="I174:I184" si="24">H174/1000*E174</f>
        <v>2.2800000000000002</v>
      </c>
    </row>
    <row r="175" spans="1:9" x14ac:dyDescent="0.25">
      <c r="C175" s="69"/>
      <c r="D175" s="7" t="s">
        <v>130</v>
      </c>
      <c r="E175" s="19">
        <v>81.599999999999994</v>
      </c>
      <c r="F175" s="19">
        <v>60</v>
      </c>
      <c r="G175" s="70"/>
      <c r="H175" s="65">
        <v>30</v>
      </c>
      <c r="I175" s="119">
        <f t="shared" si="24"/>
        <v>2.448</v>
      </c>
    </row>
    <row r="176" spans="1:9" x14ac:dyDescent="0.25">
      <c r="C176" s="69"/>
      <c r="D176" s="7" t="s">
        <v>29</v>
      </c>
      <c r="E176" s="19">
        <v>4</v>
      </c>
      <c r="F176" s="19">
        <v>4</v>
      </c>
      <c r="G176" s="70"/>
      <c r="H176" s="65">
        <v>94</v>
      </c>
      <c r="I176" s="119">
        <f t="shared" si="24"/>
        <v>0.376</v>
      </c>
    </row>
    <row r="177" spans="2:9" x14ac:dyDescent="0.25">
      <c r="C177" s="69"/>
      <c r="D177" s="7" t="s">
        <v>132</v>
      </c>
      <c r="E177" s="19">
        <v>10</v>
      </c>
      <c r="F177" s="19">
        <v>8</v>
      </c>
      <c r="G177" s="70"/>
      <c r="H177" s="65">
        <v>27</v>
      </c>
      <c r="I177" s="119">
        <f t="shared" si="24"/>
        <v>0.27</v>
      </c>
    </row>
    <row r="178" spans="2:9" x14ac:dyDescent="0.25">
      <c r="C178" s="69"/>
      <c r="D178" s="7" t="s">
        <v>131</v>
      </c>
      <c r="E178" s="19">
        <v>10</v>
      </c>
      <c r="F178" s="19">
        <v>8</v>
      </c>
      <c r="G178" s="70"/>
      <c r="H178" s="65">
        <v>35</v>
      </c>
      <c r="I178" s="119">
        <f t="shared" si="24"/>
        <v>0.35000000000000003</v>
      </c>
    </row>
    <row r="179" spans="2:9" x14ac:dyDescent="0.25">
      <c r="C179" s="69"/>
      <c r="D179" s="7" t="s">
        <v>186</v>
      </c>
      <c r="E179" s="19">
        <v>15</v>
      </c>
      <c r="F179" s="19">
        <v>12</v>
      </c>
      <c r="G179" s="70"/>
      <c r="H179" s="65">
        <v>102.1</v>
      </c>
      <c r="I179" s="119">
        <f t="shared" si="24"/>
        <v>1.5314999999999999</v>
      </c>
    </row>
    <row r="180" spans="2:9" x14ac:dyDescent="0.25">
      <c r="C180" s="69"/>
      <c r="D180" s="7" t="s">
        <v>125</v>
      </c>
      <c r="E180" s="19">
        <v>4</v>
      </c>
      <c r="F180" s="19">
        <v>4</v>
      </c>
      <c r="G180" s="70"/>
      <c r="H180" s="65">
        <v>163</v>
      </c>
      <c r="I180" s="119">
        <f t="shared" si="24"/>
        <v>0.65200000000000002</v>
      </c>
    </row>
    <row r="181" spans="2:9" x14ac:dyDescent="0.25">
      <c r="C181" s="69"/>
      <c r="D181" s="7" t="s">
        <v>151</v>
      </c>
      <c r="E181" s="19">
        <v>0.04</v>
      </c>
      <c r="F181" s="19">
        <v>0.04</v>
      </c>
      <c r="G181" s="70"/>
      <c r="H181" s="65">
        <v>1000</v>
      </c>
      <c r="I181" s="119">
        <f t="shared" si="24"/>
        <v>0.04</v>
      </c>
    </row>
    <row r="182" spans="2:9" x14ac:dyDescent="0.25">
      <c r="C182" s="69"/>
      <c r="D182" s="7" t="s">
        <v>34</v>
      </c>
      <c r="E182" s="19">
        <v>0.3</v>
      </c>
      <c r="F182" s="19">
        <v>0.3</v>
      </c>
      <c r="G182" s="70"/>
      <c r="H182" s="65">
        <v>20</v>
      </c>
      <c r="I182" s="119">
        <f t="shared" si="24"/>
        <v>6.0000000000000001E-3</v>
      </c>
    </row>
    <row r="183" spans="2:9" x14ac:dyDescent="0.25">
      <c r="C183" s="69"/>
      <c r="D183" s="7" t="s">
        <v>152</v>
      </c>
      <c r="E183" s="19">
        <v>150</v>
      </c>
      <c r="F183" s="19">
        <v>150</v>
      </c>
      <c r="G183" s="70"/>
      <c r="I183" s="119">
        <f t="shared" si="24"/>
        <v>0</v>
      </c>
    </row>
    <row r="184" spans="2:9" x14ac:dyDescent="0.25">
      <c r="C184" s="69"/>
      <c r="D184" s="7" t="s">
        <v>153</v>
      </c>
      <c r="E184" s="19">
        <v>150</v>
      </c>
      <c r="F184" s="19">
        <v>150</v>
      </c>
      <c r="G184" s="70"/>
      <c r="I184" s="119">
        <f t="shared" si="24"/>
        <v>0</v>
      </c>
    </row>
    <row r="185" spans="2:9" x14ac:dyDescent="0.25">
      <c r="C185" s="69"/>
      <c r="D185" s="56" t="s">
        <v>154</v>
      </c>
      <c r="E185" s="19" t="s">
        <v>35</v>
      </c>
      <c r="F185" s="19" t="s">
        <v>35</v>
      </c>
      <c r="G185" s="70"/>
      <c r="I185" s="99">
        <f>SUM(I174:I184)</f>
        <v>7.9535</v>
      </c>
    </row>
    <row r="186" spans="2:9" x14ac:dyDescent="0.25">
      <c r="D186" s="74"/>
      <c r="E186" s="74"/>
      <c r="F186" s="74"/>
    </row>
    <row r="187" spans="2:9" x14ac:dyDescent="0.25">
      <c r="B187" s="65" t="s">
        <v>189</v>
      </c>
      <c r="C187" s="69">
        <v>150</v>
      </c>
      <c r="D187" s="7" t="s">
        <v>188</v>
      </c>
      <c r="E187" s="19">
        <v>69</v>
      </c>
      <c r="F187" s="19">
        <v>69</v>
      </c>
      <c r="G187" s="70"/>
      <c r="H187" s="65">
        <v>80</v>
      </c>
      <c r="I187" s="119">
        <f t="shared" ref="I187:I189" si="25">H187/1000*E187</f>
        <v>5.5200000000000005</v>
      </c>
    </row>
    <row r="188" spans="2:9" x14ac:dyDescent="0.25">
      <c r="C188" s="69"/>
      <c r="D188" s="7" t="s">
        <v>22</v>
      </c>
      <c r="E188" s="19">
        <v>6.8</v>
      </c>
      <c r="F188" s="19">
        <v>6.8</v>
      </c>
      <c r="G188" s="70"/>
      <c r="H188" s="65">
        <v>990</v>
      </c>
      <c r="I188" s="119">
        <f t="shared" si="25"/>
        <v>6.7320000000000002</v>
      </c>
    </row>
    <row r="189" spans="2:9" x14ac:dyDescent="0.25">
      <c r="C189" s="69"/>
      <c r="D189" s="7" t="s">
        <v>34</v>
      </c>
      <c r="E189" s="19">
        <v>0.5</v>
      </c>
      <c r="F189" s="19">
        <v>0.5</v>
      </c>
      <c r="G189" s="70"/>
      <c r="H189" s="65">
        <v>20</v>
      </c>
      <c r="I189" s="119">
        <f t="shared" si="25"/>
        <v>0.01</v>
      </c>
    </row>
    <row r="190" spans="2:9" x14ac:dyDescent="0.25">
      <c r="C190" s="69"/>
      <c r="D190" s="7" t="s">
        <v>32</v>
      </c>
      <c r="E190" s="19">
        <v>102</v>
      </c>
      <c r="F190" s="19">
        <v>102</v>
      </c>
      <c r="G190" s="70"/>
      <c r="I190" s="119">
        <f t="shared" ref="I190" si="26">H190/1000*E190</f>
        <v>0</v>
      </c>
    </row>
    <row r="191" spans="2:9" x14ac:dyDescent="0.25">
      <c r="C191" s="69"/>
      <c r="D191" s="56" t="s">
        <v>177</v>
      </c>
      <c r="E191" s="19" t="s">
        <v>35</v>
      </c>
      <c r="F191" s="19" t="s">
        <v>35</v>
      </c>
      <c r="G191" s="70"/>
      <c r="I191" s="99">
        <f>SUM(I187:I190)</f>
        <v>12.262</v>
      </c>
    </row>
    <row r="192" spans="2:9" x14ac:dyDescent="0.25">
      <c r="D192" s="72"/>
      <c r="E192" s="72"/>
      <c r="F192" s="72"/>
    </row>
    <row r="193" spans="2:9" x14ac:dyDescent="0.25">
      <c r="B193" s="65" t="s">
        <v>309</v>
      </c>
      <c r="C193" s="69">
        <v>100</v>
      </c>
      <c r="D193" s="7" t="s">
        <v>155</v>
      </c>
      <c r="E193" s="123">
        <v>90</v>
      </c>
      <c r="F193" s="123"/>
      <c r="G193" s="70"/>
      <c r="H193" s="92">
        <v>614</v>
      </c>
      <c r="I193" s="119">
        <f t="shared" ref="I193:I202" si="27">H193/1000*E193</f>
        <v>55.26</v>
      </c>
    </row>
    <row r="194" spans="2:9" x14ac:dyDescent="0.25">
      <c r="C194" s="69"/>
      <c r="D194" s="7" t="s">
        <v>310</v>
      </c>
      <c r="E194" s="123">
        <v>78.75</v>
      </c>
      <c r="F194" s="123"/>
      <c r="G194" s="70"/>
      <c r="H194" s="65">
        <v>398</v>
      </c>
    </row>
    <row r="195" spans="2:9" x14ac:dyDescent="0.25">
      <c r="C195" s="69"/>
      <c r="D195" s="7" t="s">
        <v>311</v>
      </c>
      <c r="E195" s="123">
        <v>101.25</v>
      </c>
      <c r="F195" s="123"/>
      <c r="G195" s="70"/>
      <c r="I195" s="119">
        <f t="shared" si="27"/>
        <v>0</v>
      </c>
    </row>
    <row r="196" spans="2:9" x14ac:dyDescent="0.25">
      <c r="C196" s="69"/>
      <c r="D196" s="7" t="s">
        <v>312</v>
      </c>
      <c r="E196" s="123" t="s">
        <v>35</v>
      </c>
      <c r="F196" s="123"/>
      <c r="G196" s="70"/>
    </row>
    <row r="197" spans="2:9" ht="25.5" x14ac:dyDescent="0.25">
      <c r="C197" s="69"/>
      <c r="D197" s="7" t="s">
        <v>313</v>
      </c>
      <c r="E197" s="123">
        <v>15.75</v>
      </c>
      <c r="F197" s="123"/>
      <c r="G197" s="70"/>
      <c r="H197" s="65">
        <v>55.1</v>
      </c>
      <c r="I197" s="119">
        <f t="shared" si="27"/>
        <v>0.86782500000000007</v>
      </c>
    </row>
    <row r="198" spans="2:9" ht="25.5" x14ac:dyDescent="0.25">
      <c r="C198" s="69"/>
      <c r="D198" s="7" t="s">
        <v>314</v>
      </c>
      <c r="E198" s="123">
        <v>21.38</v>
      </c>
      <c r="F198" s="123"/>
      <c r="G198" s="70"/>
      <c r="H198" s="65">
        <v>69</v>
      </c>
      <c r="I198" s="119">
        <f t="shared" si="27"/>
        <v>1.47522</v>
      </c>
    </row>
    <row r="199" spans="2:9" x14ac:dyDescent="0.25">
      <c r="C199" s="69"/>
      <c r="D199" s="7" t="s">
        <v>136</v>
      </c>
      <c r="E199" s="123">
        <v>21.38</v>
      </c>
      <c r="F199" s="123"/>
      <c r="G199" s="70"/>
      <c r="I199" s="119">
        <f t="shared" si="27"/>
        <v>0</v>
      </c>
    </row>
    <row r="200" spans="2:9" x14ac:dyDescent="0.25">
      <c r="C200" s="69"/>
      <c r="D200" s="7" t="s">
        <v>315</v>
      </c>
      <c r="E200" s="123">
        <v>9</v>
      </c>
      <c r="F200" s="123"/>
      <c r="G200" s="70"/>
      <c r="H200" s="65">
        <v>400</v>
      </c>
      <c r="I200" s="119">
        <f t="shared" si="27"/>
        <v>3.6</v>
      </c>
    </row>
    <row r="201" spans="2:9" x14ac:dyDescent="0.25">
      <c r="C201" s="69"/>
      <c r="D201" s="7" t="s">
        <v>119</v>
      </c>
      <c r="E201" s="123" t="s">
        <v>35</v>
      </c>
      <c r="F201" s="123"/>
      <c r="G201" s="70"/>
    </row>
    <row r="202" spans="2:9" x14ac:dyDescent="0.25">
      <c r="C202" s="69"/>
      <c r="D202" s="7" t="s">
        <v>22</v>
      </c>
      <c r="E202" s="123">
        <v>5.63</v>
      </c>
      <c r="F202" s="95"/>
      <c r="G202" s="70"/>
      <c r="H202" s="65">
        <v>990</v>
      </c>
      <c r="I202" s="119">
        <f t="shared" si="27"/>
        <v>5.5736999999999997</v>
      </c>
    </row>
    <row r="203" spans="2:9" x14ac:dyDescent="0.25">
      <c r="C203" s="69"/>
      <c r="D203" s="56" t="s">
        <v>23</v>
      </c>
      <c r="E203" s="217">
        <v>90</v>
      </c>
      <c r="F203" s="217"/>
      <c r="G203" s="70"/>
      <c r="I203" s="99">
        <f>SUM(I193:I202)</f>
        <v>66.776745000000005</v>
      </c>
    </row>
    <row r="204" spans="2:9" x14ac:dyDescent="0.25">
      <c r="B204" s="128"/>
      <c r="C204" s="69"/>
      <c r="D204" s="56"/>
      <c r="E204" s="123"/>
      <c r="F204" s="123"/>
      <c r="G204" s="70"/>
      <c r="I204" s="99"/>
    </row>
    <row r="205" spans="2:9" x14ac:dyDescent="0.25">
      <c r="B205" s="73" t="s">
        <v>157</v>
      </c>
      <c r="C205" s="65">
        <v>200</v>
      </c>
      <c r="D205" s="7" t="s">
        <v>33</v>
      </c>
      <c r="E205" s="19">
        <v>7</v>
      </c>
      <c r="F205" s="19">
        <v>7</v>
      </c>
      <c r="G205" s="70"/>
      <c r="H205" s="65">
        <v>80</v>
      </c>
      <c r="I205" s="119">
        <f t="shared" ref="I205:I206" si="28">H205/1000*E205</f>
        <v>0.56000000000000005</v>
      </c>
    </row>
    <row r="206" spans="2:9" x14ac:dyDescent="0.25">
      <c r="D206" s="7" t="s">
        <v>158</v>
      </c>
      <c r="E206" s="19">
        <v>26.8</v>
      </c>
      <c r="F206" s="19">
        <v>25</v>
      </c>
      <c r="G206" s="70"/>
      <c r="H206" s="65">
        <v>138</v>
      </c>
      <c r="I206" s="119">
        <f t="shared" si="28"/>
        <v>3.6984000000000004</v>
      </c>
    </row>
    <row r="207" spans="2:9" x14ac:dyDescent="0.25">
      <c r="D207" s="7" t="s">
        <v>32</v>
      </c>
      <c r="E207" s="19">
        <v>190</v>
      </c>
      <c r="F207" s="19">
        <v>190</v>
      </c>
      <c r="G207" s="70"/>
    </row>
    <row r="208" spans="2:9" x14ac:dyDescent="0.25">
      <c r="D208" s="56" t="s">
        <v>154</v>
      </c>
      <c r="E208" s="19" t="s">
        <v>35</v>
      </c>
      <c r="F208" s="19" t="s">
        <v>35</v>
      </c>
      <c r="G208" s="70"/>
      <c r="I208" s="99">
        <f>SUM(I205:I207)</f>
        <v>4.2584</v>
      </c>
    </row>
    <row r="210" spans="1:9" x14ac:dyDescent="0.25">
      <c r="B210" s="5" t="s">
        <v>90</v>
      </c>
      <c r="C210" s="8">
        <v>30</v>
      </c>
      <c r="D210" s="5" t="s">
        <v>90</v>
      </c>
      <c r="E210" s="8">
        <v>30</v>
      </c>
      <c r="F210" s="5"/>
      <c r="G210" s="5"/>
      <c r="H210" s="5">
        <v>55.1</v>
      </c>
      <c r="I210" s="51">
        <f t="shared" ref="I210" si="29">H210/1000*E210</f>
        <v>1.653</v>
      </c>
    </row>
    <row r="211" spans="1:9" x14ac:dyDescent="0.25">
      <c r="I211" s="51"/>
    </row>
    <row r="212" spans="1:9" x14ac:dyDescent="0.25">
      <c r="B212" s="65" t="s">
        <v>145</v>
      </c>
      <c r="C212" s="65">
        <v>40</v>
      </c>
      <c r="D212" s="65" t="s">
        <v>145</v>
      </c>
      <c r="E212" s="65">
        <v>40</v>
      </c>
      <c r="H212" s="65">
        <v>35.9</v>
      </c>
      <c r="I212" s="51">
        <f t="shared" ref="I212" si="30">H212/1000*E212</f>
        <v>1.4359999999999999</v>
      </c>
    </row>
    <row r="214" spans="1:9" x14ac:dyDescent="0.25">
      <c r="A214" s="15" t="s">
        <v>199</v>
      </c>
      <c r="B214" s="13"/>
      <c r="C214" s="64"/>
      <c r="D214" s="16"/>
      <c r="E214" s="16"/>
      <c r="F214" s="16"/>
      <c r="G214" s="13"/>
      <c r="H214" s="17"/>
      <c r="I214" s="53">
        <f>I215+I227+I233+I238+I243+I246+I247</f>
        <v>48.056359999999998</v>
      </c>
    </row>
    <row r="215" spans="1:9" x14ac:dyDescent="0.25">
      <c r="B215" s="65" t="s">
        <v>171</v>
      </c>
      <c r="C215" s="65">
        <v>60</v>
      </c>
      <c r="D215" s="65" t="s">
        <v>171</v>
      </c>
      <c r="E215" s="65">
        <v>60</v>
      </c>
      <c r="H215" s="5">
        <v>60</v>
      </c>
      <c r="I215" s="51">
        <f>H215/1000*E215</f>
        <v>3.5999999999999996</v>
      </c>
    </row>
    <row r="216" spans="1:9" x14ac:dyDescent="0.25">
      <c r="B216" s="128"/>
      <c r="C216" s="69"/>
      <c r="D216" s="71"/>
      <c r="E216" s="71"/>
      <c r="F216" s="71"/>
      <c r="G216" s="70"/>
    </row>
    <row r="217" spans="1:9" x14ac:dyDescent="0.25">
      <c r="B217" s="128"/>
      <c r="C217" s="69"/>
      <c r="D217" s="71"/>
      <c r="E217" s="71"/>
      <c r="F217" s="71"/>
      <c r="G217" s="70"/>
    </row>
    <row r="218" spans="1:9" x14ac:dyDescent="0.25">
      <c r="B218" s="73" t="s">
        <v>68</v>
      </c>
      <c r="C218" s="69">
        <v>200</v>
      </c>
      <c r="D218" s="7" t="s">
        <v>129</v>
      </c>
      <c r="E218" s="114">
        <v>50</v>
      </c>
      <c r="F218" s="114">
        <v>40</v>
      </c>
      <c r="G218" s="70"/>
      <c r="H218" s="65">
        <v>45</v>
      </c>
      <c r="I218" s="119">
        <f t="shared" ref="I218:I223" si="31">H218/1000*E218</f>
        <v>2.25</v>
      </c>
    </row>
    <row r="219" spans="1:9" x14ac:dyDescent="0.25">
      <c r="C219" s="69"/>
      <c r="D219" s="7" t="s">
        <v>130</v>
      </c>
      <c r="E219" s="114">
        <v>32</v>
      </c>
      <c r="F219" s="114">
        <v>24</v>
      </c>
      <c r="G219" s="70"/>
      <c r="H219" s="65">
        <v>30</v>
      </c>
      <c r="I219" s="119">
        <f t="shared" si="31"/>
        <v>0.96</v>
      </c>
    </row>
    <row r="220" spans="1:9" x14ac:dyDescent="0.25">
      <c r="C220" s="69"/>
      <c r="D220" s="7" t="s">
        <v>131</v>
      </c>
      <c r="E220" s="114">
        <v>12.6</v>
      </c>
      <c r="F220" s="114">
        <v>10</v>
      </c>
      <c r="G220" s="70"/>
      <c r="H220" s="65">
        <v>35</v>
      </c>
      <c r="I220" s="119">
        <f t="shared" si="31"/>
        <v>0.441</v>
      </c>
    </row>
    <row r="221" spans="1:9" x14ac:dyDescent="0.25">
      <c r="C221" s="69"/>
      <c r="D221" s="7" t="s">
        <v>132</v>
      </c>
      <c r="E221" s="114">
        <v>9.6</v>
      </c>
      <c r="F221" s="114">
        <v>8</v>
      </c>
      <c r="G221" s="70"/>
      <c r="H221" s="65">
        <v>27</v>
      </c>
      <c r="I221" s="119">
        <f t="shared" si="31"/>
        <v>0.25919999999999999</v>
      </c>
    </row>
    <row r="222" spans="1:9" x14ac:dyDescent="0.25">
      <c r="C222" s="69"/>
      <c r="D222" s="7" t="s">
        <v>133</v>
      </c>
      <c r="E222" s="114">
        <v>2</v>
      </c>
      <c r="F222" s="114">
        <v>2</v>
      </c>
      <c r="G222" s="70"/>
      <c r="H222" s="65">
        <v>210</v>
      </c>
      <c r="I222" s="119">
        <f t="shared" si="31"/>
        <v>0.42</v>
      </c>
    </row>
    <row r="223" spans="1:9" x14ac:dyDescent="0.25">
      <c r="C223" s="69"/>
      <c r="D223" s="7" t="s">
        <v>125</v>
      </c>
      <c r="E223" s="114">
        <v>4</v>
      </c>
      <c r="F223" s="114">
        <v>4</v>
      </c>
      <c r="G223" s="70"/>
      <c r="H223" s="65">
        <v>163</v>
      </c>
      <c r="I223" s="119">
        <f t="shared" si="31"/>
        <v>0.65200000000000002</v>
      </c>
    </row>
    <row r="224" spans="1:9" x14ac:dyDescent="0.25">
      <c r="C224" s="69"/>
      <c r="D224" s="7" t="s">
        <v>134</v>
      </c>
      <c r="E224" s="114">
        <v>160</v>
      </c>
      <c r="F224" s="114">
        <v>160</v>
      </c>
      <c r="G224" s="70"/>
    </row>
    <row r="225" spans="2:9" x14ac:dyDescent="0.25">
      <c r="C225" s="69"/>
      <c r="D225" s="7" t="s">
        <v>135</v>
      </c>
      <c r="E225" s="114">
        <v>160</v>
      </c>
      <c r="F225" s="114">
        <v>160</v>
      </c>
      <c r="G225" s="70"/>
    </row>
    <row r="226" spans="2:9" x14ac:dyDescent="0.25">
      <c r="C226" s="69"/>
      <c r="D226" s="7" t="s">
        <v>136</v>
      </c>
      <c r="E226" s="114">
        <v>160</v>
      </c>
      <c r="F226" s="114">
        <v>160</v>
      </c>
      <c r="G226" s="70"/>
    </row>
    <row r="227" spans="2:9" x14ac:dyDescent="0.25">
      <c r="C227" s="69"/>
      <c r="D227" s="56" t="s">
        <v>23</v>
      </c>
      <c r="E227" s="217">
        <v>200</v>
      </c>
      <c r="F227" s="217"/>
      <c r="G227" s="70"/>
      <c r="I227" s="99">
        <f>I218+I219+I220+I221+I222+I223</f>
        <v>4.9821999999999997</v>
      </c>
    </row>
    <row r="228" spans="2:9" x14ac:dyDescent="0.25">
      <c r="D228" s="74"/>
      <c r="E228" s="74"/>
      <c r="F228" s="74"/>
    </row>
    <row r="229" spans="2:9" x14ac:dyDescent="0.25">
      <c r="B229" s="89" t="s">
        <v>194</v>
      </c>
      <c r="C229" s="69">
        <v>150</v>
      </c>
      <c r="D229" s="7" t="s">
        <v>166</v>
      </c>
      <c r="E229" s="19">
        <v>51</v>
      </c>
      <c r="F229" s="19">
        <v>51</v>
      </c>
      <c r="G229" s="70"/>
      <c r="H229" s="65">
        <v>59</v>
      </c>
      <c r="I229" s="119">
        <f t="shared" ref="I229:I232" si="32">H229/1000*E229</f>
        <v>3.0089999999999999</v>
      </c>
    </row>
    <row r="230" spans="2:9" x14ac:dyDescent="0.25">
      <c r="C230" s="69"/>
      <c r="D230" s="7" t="s">
        <v>22</v>
      </c>
      <c r="E230" s="19">
        <v>6.8</v>
      </c>
      <c r="F230" s="19">
        <v>6.8</v>
      </c>
      <c r="G230" s="70"/>
      <c r="H230" s="65">
        <v>990</v>
      </c>
      <c r="I230" s="119">
        <f t="shared" si="32"/>
        <v>6.7320000000000002</v>
      </c>
    </row>
    <row r="231" spans="2:9" x14ac:dyDescent="0.25">
      <c r="C231" s="69"/>
      <c r="D231" s="7" t="s">
        <v>34</v>
      </c>
      <c r="E231" s="19">
        <v>0.5</v>
      </c>
      <c r="F231" s="19">
        <v>0.5</v>
      </c>
      <c r="G231" s="70"/>
      <c r="H231" s="65">
        <v>20</v>
      </c>
      <c r="I231" s="119">
        <f t="shared" si="32"/>
        <v>0.01</v>
      </c>
    </row>
    <row r="232" spans="2:9" x14ac:dyDescent="0.25">
      <c r="C232" s="69"/>
      <c r="D232" s="7" t="s">
        <v>32</v>
      </c>
      <c r="E232" s="19">
        <v>306</v>
      </c>
      <c r="F232" s="19">
        <v>306</v>
      </c>
      <c r="G232" s="70"/>
      <c r="I232" s="119">
        <f t="shared" si="32"/>
        <v>0</v>
      </c>
    </row>
    <row r="233" spans="2:9" x14ac:dyDescent="0.25">
      <c r="C233" s="69"/>
      <c r="D233" s="56" t="s">
        <v>177</v>
      </c>
      <c r="E233" s="19" t="s">
        <v>35</v>
      </c>
      <c r="F233" s="19" t="s">
        <v>35</v>
      </c>
      <c r="G233" s="70"/>
      <c r="I233" s="99">
        <f>SUM(I229:I232)</f>
        <v>9.7509999999999994</v>
      </c>
    </row>
    <row r="234" spans="2:9" x14ac:dyDescent="0.25">
      <c r="D234" s="72"/>
      <c r="E234" s="72"/>
      <c r="F234" s="72"/>
    </row>
    <row r="235" spans="2:9" x14ac:dyDescent="0.25">
      <c r="B235" s="65" t="s">
        <v>195</v>
      </c>
      <c r="C235" s="65">
        <v>90</v>
      </c>
      <c r="D235" s="11" t="s">
        <v>196</v>
      </c>
      <c r="E235" s="80">
        <v>110</v>
      </c>
      <c r="F235" s="80">
        <v>96</v>
      </c>
      <c r="H235" s="65">
        <v>185</v>
      </c>
      <c r="I235" s="119">
        <f t="shared" ref="I235:I237" si="33">H235/1000*E235</f>
        <v>20.350000000000001</v>
      </c>
    </row>
    <row r="236" spans="2:9" x14ac:dyDescent="0.25">
      <c r="D236" s="11" t="s">
        <v>180</v>
      </c>
      <c r="E236" s="81">
        <v>2</v>
      </c>
      <c r="F236" s="81">
        <v>2</v>
      </c>
      <c r="H236" s="65">
        <v>228</v>
      </c>
      <c r="I236" s="119">
        <f t="shared" si="33"/>
        <v>0.45600000000000002</v>
      </c>
    </row>
    <row r="237" spans="2:9" x14ac:dyDescent="0.25">
      <c r="D237" s="11" t="s">
        <v>142</v>
      </c>
      <c r="E237" s="82">
        <v>0.5</v>
      </c>
      <c r="F237" s="82">
        <v>0.5</v>
      </c>
      <c r="H237" s="65">
        <v>20</v>
      </c>
      <c r="I237" s="119">
        <f t="shared" si="33"/>
        <v>0.01</v>
      </c>
    </row>
    <row r="238" spans="2:9" x14ac:dyDescent="0.25">
      <c r="D238" s="12" t="s">
        <v>112</v>
      </c>
      <c r="E238" s="79" t="s">
        <v>35</v>
      </c>
      <c r="F238" s="83">
        <v>90</v>
      </c>
      <c r="I238" s="99">
        <f>I235+I236+I237</f>
        <v>20.816000000000003</v>
      </c>
    </row>
    <row r="239" spans="2:9" x14ac:dyDescent="0.25">
      <c r="I239" s="99"/>
    </row>
    <row r="240" spans="2:9" ht="25.5" x14ac:dyDescent="0.25">
      <c r="B240" s="65" t="s">
        <v>184</v>
      </c>
      <c r="C240" s="69">
        <v>200</v>
      </c>
      <c r="D240" s="7" t="s">
        <v>183</v>
      </c>
      <c r="E240" s="114">
        <v>24</v>
      </c>
      <c r="F240" s="114">
        <v>24</v>
      </c>
      <c r="G240" s="70"/>
      <c r="H240" s="65">
        <v>209.09</v>
      </c>
      <c r="I240" s="46">
        <f t="shared" ref="I240:I242" si="34">H240/1000*E240</f>
        <v>5.01816</v>
      </c>
    </row>
    <row r="241" spans="1:9" x14ac:dyDescent="0.25">
      <c r="C241" s="69"/>
      <c r="D241" s="7" t="s">
        <v>33</v>
      </c>
      <c r="E241" s="114">
        <v>10</v>
      </c>
      <c r="F241" s="114">
        <v>10</v>
      </c>
      <c r="G241" s="70"/>
      <c r="H241" s="65">
        <v>80</v>
      </c>
      <c r="I241" s="46">
        <f t="shared" si="34"/>
        <v>0.8</v>
      </c>
    </row>
    <row r="242" spans="1:9" x14ac:dyDescent="0.25">
      <c r="C242" s="69"/>
      <c r="D242" s="7" t="s">
        <v>32</v>
      </c>
      <c r="E242" s="114">
        <v>190</v>
      </c>
      <c r="F242" s="114">
        <v>190</v>
      </c>
      <c r="G242" s="70"/>
      <c r="I242" s="46">
        <f t="shared" si="34"/>
        <v>0</v>
      </c>
    </row>
    <row r="243" spans="1:9" x14ac:dyDescent="0.25">
      <c r="C243" s="69"/>
      <c r="D243" s="56" t="s">
        <v>154</v>
      </c>
      <c r="E243" s="114" t="s">
        <v>35</v>
      </c>
      <c r="F243" s="114" t="s">
        <v>35</v>
      </c>
      <c r="G243" s="70"/>
      <c r="I243" s="99">
        <f>SUM(I240:I242)</f>
        <v>5.8181599999999998</v>
      </c>
    </row>
    <row r="246" spans="1:9" x14ac:dyDescent="0.25">
      <c r="B246" s="65" t="s">
        <v>90</v>
      </c>
      <c r="C246" s="65">
        <v>30</v>
      </c>
      <c r="E246" s="65">
        <v>30</v>
      </c>
      <c r="H246" s="65">
        <v>55.1</v>
      </c>
      <c r="I246" s="99">
        <f t="shared" ref="I246:I247" si="35">H246/1000*E246</f>
        <v>1.653</v>
      </c>
    </row>
    <row r="247" spans="1:9" x14ac:dyDescent="0.25">
      <c r="B247" s="65" t="s">
        <v>145</v>
      </c>
      <c r="C247" s="65">
        <v>40</v>
      </c>
      <c r="E247" s="65">
        <v>40</v>
      </c>
      <c r="H247" s="65">
        <v>35.9</v>
      </c>
      <c r="I247" s="99">
        <f t="shared" si="35"/>
        <v>1.4359999999999999</v>
      </c>
    </row>
    <row r="249" spans="1:9" s="102" customFormat="1" x14ac:dyDescent="0.25">
      <c r="A249" s="15" t="s">
        <v>200</v>
      </c>
      <c r="B249" s="101"/>
      <c r="C249" s="101"/>
      <c r="D249" s="101"/>
      <c r="E249" s="101"/>
      <c r="F249" s="101"/>
      <c r="G249" s="101"/>
      <c r="H249" s="101"/>
      <c r="I249" s="103">
        <f>I257+I274+I280+I296+I298+I300+I302</f>
        <v>95.852152000000018</v>
      </c>
    </row>
    <row r="250" spans="1:9" x14ac:dyDescent="0.25">
      <c r="B250" s="106" t="s">
        <v>227</v>
      </c>
      <c r="C250" s="69">
        <v>60</v>
      </c>
      <c r="D250" s="7" t="s">
        <v>129</v>
      </c>
      <c r="E250" s="185">
        <v>63</v>
      </c>
      <c r="F250" s="185">
        <v>50.4</v>
      </c>
      <c r="G250" s="70"/>
      <c r="H250" s="65">
        <v>45</v>
      </c>
      <c r="I250" s="46">
        <f t="shared" ref="I250:I256" si="36">H250/1000*E250</f>
        <v>2.835</v>
      </c>
    </row>
    <row r="251" spans="1:9" x14ac:dyDescent="0.25">
      <c r="C251" s="69"/>
      <c r="D251" s="11" t="s">
        <v>161</v>
      </c>
      <c r="E251" s="84">
        <v>5</v>
      </c>
      <c r="F251" s="84">
        <v>4</v>
      </c>
      <c r="H251" s="65">
        <v>700</v>
      </c>
      <c r="I251" s="119">
        <f t="shared" si="36"/>
        <v>3.5</v>
      </c>
    </row>
    <row r="252" spans="1:9" x14ac:dyDescent="0.25">
      <c r="C252" s="69"/>
      <c r="D252" s="11" t="s">
        <v>162</v>
      </c>
      <c r="E252" s="84">
        <v>0.5</v>
      </c>
      <c r="F252" s="84">
        <v>0.5</v>
      </c>
      <c r="H252" s="65">
        <v>80</v>
      </c>
      <c r="I252" s="119">
        <f t="shared" si="36"/>
        <v>0.04</v>
      </c>
    </row>
    <row r="253" spans="1:9" x14ac:dyDescent="0.25">
      <c r="C253" s="69"/>
      <c r="D253" s="11" t="s">
        <v>163</v>
      </c>
      <c r="E253" s="84">
        <v>3.5</v>
      </c>
      <c r="F253" s="84">
        <v>3.5</v>
      </c>
      <c r="H253" s="65">
        <v>163</v>
      </c>
      <c r="I253" s="119">
        <f t="shared" si="36"/>
        <v>0.57050000000000001</v>
      </c>
    </row>
    <row r="254" spans="1:9" x14ac:dyDescent="0.25">
      <c r="C254" s="69"/>
      <c r="D254" s="11" t="s">
        <v>164</v>
      </c>
      <c r="E254" s="18">
        <v>4.5</v>
      </c>
      <c r="F254" s="84">
        <v>3.5</v>
      </c>
      <c r="H254" s="65">
        <v>700</v>
      </c>
      <c r="I254" s="119">
        <f t="shared" si="36"/>
        <v>3.15</v>
      </c>
    </row>
    <row r="255" spans="1:9" x14ac:dyDescent="0.25">
      <c r="C255" s="69"/>
      <c r="D255" s="11" t="s">
        <v>142</v>
      </c>
      <c r="E255" s="84">
        <v>1.5</v>
      </c>
      <c r="F255" s="84">
        <v>1.5</v>
      </c>
      <c r="H255" s="65">
        <v>20</v>
      </c>
      <c r="I255" s="119">
        <f t="shared" si="36"/>
        <v>0.03</v>
      </c>
    </row>
    <row r="256" spans="1:9" x14ac:dyDescent="0.25">
      <c r="C256" s="69"/>
      <c r="D256" s="11" t="s">
        <v>165</v>
      </c>
      <c r="E256" s="94">
        <v>0.01</v>
      </c>
      <c r="F256" s="94">
        <v>0.01</v>
      </c>
      <c r="H256" s="65">
        <v>500</v>
      </c>
      <c r="I256" s="119">
        <f t="shared" si="36"/>
        <v>5.0000000000000001E-3</v>
      </c>
    </row>
    <row r="257" spans="2:9" x14ac:dyDescent="0.25">
      <c r="C257" s="69"/>
      <c r="D257" s="137" t="s">
        <v>112</v>
      </c>
      <c r="E257" s="137" t="s">
        <v>35</v>
      </c>
      <c r="F257" s="138">
        <v>60</v>
      </c>
      <c r="I257" s="99">
        <f>SUM(I250:I256)</f>
        <v>10.1305</v>
      </c>
    </row>
    <row r="258" spans="2:9" x14ac:dyDescent="0.25">
      <c r="C258" s="69"/>
      <c r="D258" s="56"/>
      <c r="E258" s="185"/>
      <c r="F258" s="185"/>
      <c r="G258" s="70"/>
      <c r="I258" s="99"/>
    </row>
    <row r="259" spans="2:9" x14ac:dyDescent="0.25">
      <c r="C259" s="69"/>
      <c r="G259" s="70"/>
    </row>
    <row r="260" spans="2:9" x14ac:dyDescent="0.25">
      <c r="B260" s="65" t="s">
        <v>229</v>
      </c>
      <c r="C260" s="69">
        <v>250</v>
      </c>
      <c r="D260" s="107" t="s">
        <v>228</v>
      </c>
      <c r="E260" s="107"/>
      <c r="F260" s="107"/>
      <c r="G260" s="70"/>
    </row>
    <row r="261" spans="2:9" x14ac:dyDescent="0.25">
      <c r="C261" s="69"/>
      <c r="D261" s="107" t="s">
        <v>230</v>
      </c>
      <c r="E261" s="107">
        <f>'расчет обед 5-11'!E251/250*200</f>
        <v>61.615999999999993</v>
      </c>
      <c r="F261" s="107">
        <f>'расчет обед 5-11'!F251/250*200</f>
        <v>40</v>
      </c>
      <c r="G261" s="70"/>
      <c r="H261" s="65">
        <v>30</v>
      </c>
      <c r="I261" s="46">
        <f t="shared" ref="I261:I273" si="37">H261/1000*E261</f>
        <v>1.8484799999999997</v>
      </c>
    </row>
    <row r="262" spans="2:9" x14ac:dyDescent="0.25">
      <c r="C262" s="69"/>
      <c r="D262" s="107" t="s">
        <v>231</v>
      </c>
      <c r="E262" s="107">
        <f>'расчет обед 5-11'!E252/250*200</f>
        <v>66.808000000000007</v>
      </c>
      <c r="F262" s="107">
        <f>'расчет обед 5-11'!F252/250*200</f>
        <v>40</v>
      </c>
      <c r="G262" s="70"/>
      <c r="H262" s="65">
        <v>30</v>
      </c>
      <c r="I262" s="46"/>
    </row>
    <row r="263" spans="2:9" x14ac:dyDescent="0.25">
      <c r="C263" s="69"/>
      <c r="D263" s="107" t="s">
        <v>232</v>
      </c>
      <c r="E263" s="107">
        <f>'расчет обед 5-11'!E253/250*200</f>
        <v>53.824000000000005</v>
      </c>
      <c r="F263" s="107">
        <f>'расчет обед 5-11'!F253/250*200</f>
        <v>40</v>
      </c>
      <c r="G263" s="70"/>
      <c r="H263" s="65">
        <v>30</v>
      </c>
      <c r="I263" s="46"/>
    </row>
    <row r="264" spans="2:9" x14ac:dyDescent="0.25">
      <c r="C264" s="69"/>
      <c r="D264" s="107" t="s">
        <v>233</v>
      </c>
      <c r="E264" s="107">
        <f>'расчет обед 5-11'!E254/250*200</f>
        <v>53.231999999999999</v>
      </c>
      <c r="F264" s="107">
        <f>'расчет обед 5-11'!F254/250*200</f>
        <v>40</v>
      </c>
      <c r="G264" s="70"/>
      <c r="H264" s="65">
        <v>30</v>
      </c>
      <c r="I264" s="46"/>
    </row>
    <row r="265" spans="2:9" x14ac:dyDescent="0.25">
      <c r="C265" s="69"/>
      <c r="D265" s="107" t="s">
        <v>234</v>
      </c>
      <c r="E265" s="107">
        <f>'расчет обед 5-11'!E255/250*200</f>
        <v>58.887999999999998</v>
      </c>
      <c r="F265" s="107">
        <f>'расчет обед 5-11'!F255/250*200</f>
        <v>40</v>
      </c>
      <c r="G265" s="70"/>
      <c r="H265" s="65">
        <v>30</v>
      </c>
      <c r="I265" s="46"/>
    </row>
    <row r="266" spans="2:9" x14ac:dyDescent="0.25">
      <c r="C266" s="69"/>
      <c r="D266" s="107" t="s">
        <v>235</v>
      </c>
      <c r="E266" s="107">
        <f>'расчет обед 5-11'!E256/250*200</f>
        <v>8</v>
      </c>
      <c r="F266" s="107">
        <f>'расчет обед 5-11'!F256/250*200</f>
        <v>8</v>
      </c>
      <c r="G266" s="70"/>
      <c r="H266" s="65">
        <v>80</v>
      </c>
      <c r="I266" s="46">
        <f t="shared" si="37"/>
        <v>0.64</v>
      </c>
    </row>
    <row r="267" spans="2:9" x14ac:dyDescent="0.25">
      <c r="C267" s="69"/>
      <c r="D267" s="107" t="s">
        <v>236</v>
      </c>
      <c r="E267" s="107">
        <f>'расчет обед 5-11'!E257/250*200</f>
        <v>0</v>
      </c>
      <c r="F267" s="107">
        <f>'расчет обед 5-11'!F257/250*200</f>
        <v>0</v>
      </c>
      <c r="G267" s="70"/>
      <c r="I267" s="46">
        <f t="shared" si="37"/>
        <v>0</v>
      </c>
    </row>
    <row r="268" spans="2:9" x14ac:dyDescent="0.25">
      <c r="C268" s="69"/>
      <c r="D268" s="107" t="s">
        <v>237</v>
      </c>
      <c r="E268" s="107">
        <f>'расчет обед 5-11'!E258/250*200</f>
        <v>10.8</v>
      </c>
      <c r="F268" s="107">
        <f>'расчет обед 5-11'!F258/250*200</f>
        <v>8</v>
      </c>
      <c r="G268" s="70"/>
      <c r="H268" s="65">
        <v>35</v>
      </c>
      <c r="I268" s="46">
        <f t="shared" si="37"/>
        <v>0.37800000000000006</v>
      </c>
    </row>
    <row r="269" spans="2:9" x14ac:dyDescent="0.25">
      <c r="C269" s="69"/>
      <c r="D269" s="107" t="s">
        <v>238</v>
      </c>
      <c r="E269" s="107">
        <f>'расчет обед 5-11'!E259/250*200</f>
        <v>10.08</v>
      </c>
      <c r="F269" s="107">
        <f>'расчет обед 5-11'!F259/250*200</f>
        <v>8</v>
      </c>
      <c r="G269" s="70"/>
      <c r="H269" s="65">
        <v>35</v>
      </c>
      <c r="I269" s="46"/>
    </row>
    <row r="270" spans="2:9" x14ac:dyDescent="0.25">
      <c r="C270" s="69"/>
      <c r="D270" s="107" t="s">
        <v>239</v>
      </c>
      <c r="E270" s="107">
        <f>'расчет обед 5-11'!E260/250*200</f>
        <v>9.3360000000000003</v>
      </c>
      <c r="F270" s="107">
        <f>'расчет обед 5-11'!F260/250*200</f>
        <v>8</v>
      </c>
      <c r="G270" s="70"/>
      <c r="H270" s="65">
        <v>27</v>
      </c>
      <c r="I270" s="46">
        <f t="shared" si="37"/>
        <v>0.25207200000000002</v>
      </c>
    </row>
    <row r="271" spans="2:9" x14ac:dyDescent="0.25">
      <c r="C271" s="69"/>
      <c r="D271" s="107" t="s">
        <v>240</v>
      </c>
      <c r="E271" s="107">
        <f>'расчет обед 5-11'!E261/250*200</f>
        <v>2</v>
      </c>
      <c r="F271" s="107">
        <f>'расчет обед 5-11'!F261/250*200</f>
        <v>2</v>
      </c>
      <c r="G271" s="70"/>
      <c r="H271" s="65">
        <v>163</v>
      </c>
      <c r="I271" s="46">
        <f t="shared" si="37"/>
        <v>0.32600000000000001</v>
      </c>
    </row>
    <row r="272" spans="2:9" x14ac:dyDescent="0.25">
      <c r="C272" s="69"/>
      <c r="D272" s="107" t="s">
        <v>241</v>
      </c>
      <c r="E272" s="107">
        <f>'расчет обед 5-11'!E262/250*200</f>
        <v>170</v>
      </c>
      <c r="F272" s="107">
        <f>'расчет обед 5-11'!F262/250*200</f>
        <v>170</v>
      </c>
      <c r="G272" s="70"/>
      <c r="I272" s="46">
        <f t="shared" si="37"/>
        <v>0</v>
      </c>
    </row>
    <row r="273" spans="2:9" x14ac:dyDescent="0.25">
      <c r="C273" s="69"/>
      <c r="D273" s="107" t="s">
        <v>242</v>
      </c>
      <c r="E273" s="107">
        <f>'расчет обед 5-11'!E263/250*200</f>
        <v>1.6</v>
      </c>
      <c r="F273" s="107">
        <f>'расчет обед 5-11'!F263/250*200</f>
        <v>1.6</v>
      </c>
      <c r="G273" s="70"/>
      <c r="H273" s="65">
        <v>20</v>
      </c>
      <c r="I273" s="46">
        <f t="shared" si="37"/>
        <v>3.2000000000000001E-2</v>
      </c>
    </row>
    <row r="274" spans="2:9" x14ac:dyDescent="0.25">
      <c r="C274" s="69"/>
      <c r="D274" s="139" t="s">
        <v>306</v>
      </c>
      <c r="E274" s="107"/>
      <c r="F274" s="107"/>
      <c r="G274" s="70"/>
      <c r="I274" s="99">
        <f>SUM(I261:I273)</f>
        <v>3.4765519999999999</v>
      </c>
    </row>
    <row r="275" spans="2:9" x14ac:dyDescent="0.25">
      <c r="D275" s="71"/>
      <c r="E275" s="71"/>
      <c r="F275" s="71"/>
    </row>
    <row r="276" spans="2:9" x14ac:dyDescent="0.25">
      <c r="B276" s="73" t="s">
        <v>176</v>
      </c>
      <c r="C276" s="69">
        <v>150</v>
      </c>
      <c r="D276" s="7" t="s">
        <v>130</v>
      </c>
      <c r="E276" s="19">
        <v>171.41</v>
      </c>
      <c r="F276" s="19">
        <v>126</v>
      </c>
      <c r="G276" s="70"/>
      <c r="H276" s="65">
        <v>30</v>
      </c>
      <c r="I276" s="46">
        <f t="shared" ref="I276:I279" si="38">H276/1000*E276</f>
        <v>5.1422999999999996</v>
      </c>
    </row>
    <row r="277" spans="2:9" x14ac:dyDescent="0.25">
      <c r="C277" s="69"/>
      <c r="D277" s="7" t="s">
        <v>31</v>
      </c>
      <c r="E277" s="19">
        <v>24</v>
      </c>
      <c r="F277" s="19">
        <v>24</v>
      </c>
      <c r="G277" s="70"/>
      <c r="H277" s="65">
        <v>69</v>
      </c>
      <c r="I277" s="46">
        <f t="shared" si="38"/>
        <v>1.6560000000000001</v>
      </c>
    </row>
    <row r="278" spans="2:9" x14ac:dyDescent="0.25">
      <c r="C278" s="69"/>
      <c r="D278" s="7" t="s">
        <v>22</v>
      </c>
      <c r="E278" s="19">
        <v>6.8</v>
      </c>
      <c r="F278" s="19">
        <v>6.8</v>
      </c>
      <c r="G278" s="70"/>
      <c r="H278" s="65">
        <v>990</v>
      </c>
      <c r="I278" s="46">
        <f t="shared" si="38"/>
        <v>6.7320000000000002</v>
      </c>
    </row>
    <row r="279" spans="2:9" x14ac:dyDescent="0.25">
      <c r="C279" s="69"/>
      <c r="D279" s="7" t="s">
        <v>34</v>
      </c>
      <c r="E279" s="19">
        <v>0.5</v>
      </c>
      <c r="F279" s="19">
        <v>0.5</v>
      </c>
      <c r="G279" s="70"/>
      <c r="H279" s="65">
        <v>20</v>
      </c>
      <c r="I279" s="46">
        <f t="shared" si="38"/>
        <v>0.01</v>
      </c>
    </row>
    <row r="280" spans="2:9" x14ac:dyDescent="0.25">
      <c r="C280" s="69"/>
      <c r="D280" s="56" t="s">
        <v>177</v>
      </c>
      <c r="E280" s="19" t="s">
        <v>35</v>
      </c>
      <c r="F280" s="19" t="s">
        <v>35</v>
      </c>
      <c r="G280" s="70"/>
      <c r="I280" s="99">
        <f>SUM(I276:I279)</f>
        <v>13.5403</v>
      </c>
    </row>
    <row r="282" spans="2:9" x14ac:dyDescent="0.25">
      <c r="B282" s="65" t="s">
        <v>212</v>
      </c>
      <c r="C282" s="65" t="s">
        <v>103</v>
      </c>
      <c r="D282" s="77" t="s">
        <v>190</v>
      </c>
      <c r="E282" s="80">
        <v>79</v>
      </c>
      <c r="F282" s="80">
        <v>57</v>
      </c>
      <c r="H282" s="92">
        <v>614</v>
      </c>
      <c r="I282" s="46">
        <f t="shared" ref="I282:I295" si="39">H282/1000*E282</f>
        <v>48.506</v>
      </c>
    </row>
    <row r="283" spans="2:9" x14ac:dyDescent="0.25">
      <c r="D283" s="75" t="s">
        <v>209</v>
      </c>
      <c r="E283" s="81">
        <v>8</v>
      </c>
      <c r="F283" s="81">
        <v>8</v>
      </c>
      <c r="I283" s="46">
        <f t="shared" si="39"/>
        <v>0</v>
      </c>
    </row>
    <row r="284" spans="2:9" x14ac:dyDescent="0.25">
      <c r="D284" s="75" t="s">
        <v>29</v>
      </c>
      <c r="E284" s="81">
        <v>7</v>
      </c>
      <c r="F284" s="81">
        <v>9</v>
      </c>
      <c r="H284" s="65">
        <v>94</v>
      </c>
      <c r="I284" s="46">
        <f t="shared" si="39"/>
        <v>0.65800000000000003</v>
      </c>
    </row>
    <row r="285" spans="2:9" x14ac:dyDescent="0.25">
      <c r="D285" s="75" t="s">
        <v>132</v>
      </c>
      <c r="E285" s="81">
        <v>28</v>
      </c>
      <c r="F285" s="81">
        <v>29</v>
      </c>
      <c r="H285" s="65">
        <v>27</v>
      </c>
      <c r="I285" s="46">
        <f t="shared" si="39"/>
        <v>0.75600000000000001</v>
      </c>
    </row>
    <row r="286" spans="2:9" x14ac:dyDescent="0.25">
      <c r="D286" s="75" t="s">
        <v>125</v>
      </c>
      <c r="E286" s="85">
        <v>4</v>
      </c>
      <c r="F286" s="81">
        <v>5</v>
      </c>
      <c r="H286" s="65">
        <v>163</v>
      </c>
      <c r="I286" s="46">
        <f t="shared" si="39"/>
        <v>0.65200000000000002</v>
      </c>
    </row>
    <row r="287" spans="2:9" x14ac:dyDescent="0.25">
      <c r="D287" s="75" t="s">
        <v>203</v>
      </c>
      <c r="E287" s="81">
        <v>5</v>
      </c>
      <c r="F287" s="81">
        <v>6</v>
      </c>
      <c r="H287" s="65">
        <v>39</v>
      </c>
      <c r="I287" s="46">
        <f t="shared" si="39"/>
        <v>0.19500000000000001</v>
      </c>
    </row>
    <row r="288" spans="2:9" x14ac:dyDescent="0.25">
      <c r="D288" s="105" t="s">
        <v>210</v>
      </c>
      <c r="E288" s="81"/>
      <c r="F288" s="81"/>
      <c r="I288" s="46">
        <f t="shared" si="39"/>
        <v>0</v>
      </c>
    </row>
    <row r="289" spans="1:9" x14ac:dyDescent="0.25">
      <c r="D289" s="75" t="s">
        <v>180</v>
      </c>
      <c r="E289" s="81">
        <v>4.5</v>
      </c>
      <c r="F289" s="81">
        <v>4.5</v>
      </c>
      <c r="H289" s="65">
        <v>228</v>
      </c>
      <c r="I289" s="46">
        <f t="shared" si="39"/>
        <v>1.026</v>
      </c>
    </row>
    <row r="290" spans="1:9" x14ac:dyDescent="0.25">
      <c r="D290" s="75" t="s">
        <v>203</v>
      </c>
      <c r="E290" s="81">
        <v>1.3</v>
      </c>
      <c r="F290" s="81">
        <v>1.3</v>
      </c>
      <c r="H290" s="65">
        <v>46</v>
      </c>
      <c r="I290" s="46">
        <f t="shared" si="39"/>
        <v>5.9799999999999999E-2</v>
      </c>
    </row>
    <row r="291" spans="1:9" x14ac:dyDescent="0.25">
      <c r="D291" s="75" t="s">
        <v>32</v>
      </c>
      <c r="E291" s="81">
        <v>13.5</v>
      </c>
      <c r="F291" s="81">
        <v>13.5</v>
      </c>
      <c r="I291" s="46">
        <f t="shared" si="39"/>
        <v>0</v>
      </c>
    </row>
    <row r="292" spans="1:9" x14ac:dyDescent="0.25">
      <c r="D292" s="75" t="s">
        <v>132</v>
      </c>
      <c r="E292" s="81">
        <v>5</v>
      </c>
      <c r="F292" s="81">
        <v>4</v>
      </c>
      <c r="H292" s="65">
        <v>27</v>
      </c>
      <c r="I292" s="46">
        <f t="shared" si="39"/>
        <v>0.13500000000000001</v>
      </c>
    </row>
    <row r="293" spans="1:9" x14ac:dyDescent="0.25">
      <c r="D293" s="75" t="s">
        <v>22</v>
      </c>
      <c r="E293" s="81">
        <v>0.4</v>
      </c>
      <c r="F293" s="81">
        <v>0.4</v>
      </c>
      <c r="H293" s="65">
        <v>990</v>
      </c>
      <c r="I293" s="46">
        <f t="shared" si="39"/>
        <v>0.39600000000000002</v>
      </c>
    </row>
    <row r="294" spans="1:9" x14ac:dyDescent="0.25">
      <c r="D294" s="75" t="s">
        <v>142</v>
      </c>
      <c r="E294" s="81">
        <v>0.6</v>
      </c>
      <c r="F294" s="81">
        <v>0.6</v>
      </c>
      <c r="H294" s="65">
        <v>20</v>
      </c>
      <c r="I294" s="46">
        <f t="shared" si="39"/>
        <v>1.2E-2</v>
      </c>
    </row>
    <row r="295" spans="1:9" x14ac:dyDescent="0.25">
      <c r="D295" s="78" t="s">
        <v>211</v>
      </c>
      <c r="E295" s="93">
        <v>2</v>
      </c>
      <c r="F295" s="93">
        <v>2</v>
      </c>
      <c r="H295" s="65">
        <v>210</v>
      </c>
      <c r="I295" s="46">
        <f t="shared" si="39"/>
        <v>0.42</v>
      </c>
    </row>
    <row r="296" spans="1:9" x14ac:dyDescent="0.25">
      <c r="D296" s="79" t="s">
        <v>112</v>
      </c>
      <c r="E296" s="79" t="s">
        <v>35</v>
      </c>
      <c r="F296" s="79" t="s">
        <v>103</v>
      </c>
      <c r="I296" s="99">
        <f>SUM(I282:I295)</f>
        <v>52.81580000000001</v>
      </c>
    </row>
    <row r="298" spans="1:9" x14ac:dyDescent="0.25">
      <c r="B298" s="65" t="s">
        <v>143</v>
      </c>
      <c r="C298" s="65">
        <v>200</v>
      </c>
      <c r="E298" s="65">
        <v>200</v>
      </c>
      <c r="F298" s="65">
        <v>200</v>
      </c>
      <c r="H298" s="65">
        <v>64</v>
      </c>
      <c r="I298" s="99">
        <f>H298/1000*E298</f>
        <v>12.8</v>
      </c>
    </row>
    <row r="299" spans="1:9" x14ac:dyDescent="0.25">
      <c r="D299" s="72"/>
      <c r="E299" s="72"/>
      <c r="F299" s="72"/>
    </row>
    <row r="300" spans="1:9" x14ac:dyDescent="0.25">
      <c r="B300" s="5" t="s">
        <v>90</v>
      </c>
      <c r="C300" s="8">
        <v>30</v>
      </c>
      <c r="D300" s="5" t="s">
        <v>90</v>
      </c>
      <c r="E300" s="8">
        <v>30</v>
      </c>
      <c r="F300" s="5"/>
      <c r="G300" s="5"/>
      <c r="H300" s="5">
        <v>55.1</v>
      </c>
      <c r="I300" s="51">
        <f t="shared" ref="I300" si="40">H300/1000*E300</f>
        <v>1.653</v>
      </c>
    </row>
    <row r="301" spans="1:9" x14ac:dyDescent="0.25">
      <c r="I301" s="51"/>
    </row>
    <row r="302" spans="1:9" x14ac:dyDescent="0.25">
      <c r="B302" s="65" t="s">
        <v>145</v>
      </c>
      <c r="C302" s="65">
        <v>40</v>
      </c>
      <c r="D302" s="65" t="s">
        <v>145</v>
      </c>
      <c r="E302" s="65">
        <v>40</v>
      </c>
      <c r="H302" s="65">
        <v>35.9</v>
      </c>
      <c r="I302" s="51">
        <f t="shared" ref="I302" si="41">H302/1000*E302</f>
        <v>1.4359999999999999</v>
      </c>
    </row>
    <row r="304" spans="1:9" s="102" customFormat="1" x14ac:dyDescent="0.25">
      <c r="A304" s="15" t="s">
        <v>198</v>
      </c>
      <c r="B304" s="101"/>
      <c r="C304" s="101"/>
      <c r="D304" s="104"/>
      <c r="E304" s="104"/>
      <c r="F304" s="104"/>
      <c r="G304" s="101"/>
      <c r="H304" s="101"/>
      <c r="I304" s="103">
        <f>I308+I320+I332+I337+I339+I341</f>
        <v>88.558059999999983</v>
      </c>
    </row>
    <row r="305" spans="2:9" x14ac:dyDescent="0.25">
      <c r="B305" s="73" t="s">
        <v>204</v>
      </c>
      <c r="C305" s="69">
        <v>60</v>
      </c>
      <c r="D305" s="7" t="s">
        <v>205</v>
      </c>
      <c r="E305" s="19">
        <v>71.25</v>
      </c>
      <c r="F305" s="19">
        <v>57</v>
      </c>
      <c r="G305" s="70"/>
      <c r="H305" s="65">
        <v>30</v>
      </c>
      <c r="I305" s="46">
        <f t="shared" ref="I305:I307" si="42">H305/1000*E305</f>
        <v>2.1374999999999997</v>
      </c>
    </row>
    <row r="306" spans="2:9" x14ac:dyDescent="0.25">
      <c r="C306" s="69"/>
      <c r="D306" s="7" t="s">
        <v>125</v>
      </c>
      <c r="E306" s="19">
        <v>3</v>
      </c>
      <c r="F306" s="19">
        <v>3</v>
      </c>
      <c r="G306" s="70"/>
      <c r="H306" s="65">
        <v>163</v>
      </c>
      <c r="I306" s="46">
        <f t="shared" si="42"/>
        <v>0.48899999999999999</v>
      </c>
    </row>
    <row r="307" spans="2:9" x14ac:dyDescent="0.25">
      <c r="C307" s="69"/>
      <c r="D307" s="7" t="s">
        <v>34</v>
      </c>
      <c r="E307" s="19">
        <v>0.23</v>
      </c>
      <c r="F307" s="19">
        <v>0.23</v>
      </c>
      <c r="G307" s="70"/>
      <c r="H307" s="65">
        <v>20</v>
      </c>
      <c r="I307" s="46">
        <f t="shared" si="42"/>
        <v>4.5999999999999999E-3</v>
      </c>
    </row>
    <row r="308" spans="2:9" x14ac:dyDescent="0.25">
      <c r="C308" s="69"/>
      <c r="D308" s="56" t="s">
        <v>206</v>
      </c>
      <c r="E308" s="19" t="s">
        <v>35</v>
      </c>
      <c r="F308" s="19" t="s">
        <v>35</v>
      </c>
      <c r="G308" s="70"/>
      <c r="I308" s="99">
        <f>SUM(I305:I307)</f>
        <v>2.6310999999999996</v>
      </c>
    </row>
    <row r="309" spans="2:9" x14ac:dyDescent="0.25">
      <c r="D309" s="74"/>
      <c r="E309" s="74"/>
      <c r="F309" s="74"/>
    </row>
    <row r="310" spans="2:9" x14ac:dyDescent="0.25">
      <c r="B310" s="73" t="s">
        <v>304</v>
      </c>
      <c r="C310" s="69"/>
      <c r="D310" s="7" t="s">
        <v>130</v>
      </c>
      <c r="E310" s="114">
        <v>68</v>
      </c>
      <c r="F310" s="114">
        <v>50</v>
      </c>
      <c r="G310" s="70"/>
      <c r="H310" s="65">
        <v>30</v>
      </c>
      <c r="I310" s="119">
        <f t="shared" ref="I310:I319" si="43">H310/1000*E310</f>
        <v>2.04</v>
      </c>
    </row>
    <row r="311" spans="2:9" x14ac:dyDescent="0.25">
      <c r="C311" s="69"/>
      <c r="D311" s="7" t="s">
        <v>149</v>
      </c>
      <c r="E311" s="114">
        <v>16</v>
      </c>
      <c r="F311" s="114">
        <v>16</v>
      </c>
      <c r="G311" s="70"/>
      <c r="H311" s="65">
        <v>57</v>
      </c>
      <c r="I311" s="119">
        <f t="shared" si="43"/>
        <v>0.91200000000000003</v>
      </c>
    </row>
    <row r="312" spans="2:9" x14ac:dyDescent="0.25">
      <c r="C312" s="69"/>
      <c r="D312" s="7" t="s">
        <v>132</v>
      </c>
      <c r="E312" s="114">
        <v>10</v>
      </c>
      <c r="F312" s="114">
        <v>8</v>
      </c>
      <c r="G312" s="70"/>
      <c r="H312" s="65">
        <v>27</v>
      </c>
      <c r="I312" s="119">
        <f t="shared" si="43"/>
        <v>0.27</v>
      </c>
    </row>
    <row r="313" spans="2:9" x14ac:dyDescent="0.25">
      <c r="C313" s="69"/>
      <c r="D313" s="7" t="s">
        <v>131</v>
      </c>
      <c r="E313" s="114">
        <v>10</v>
      </c>
      <c r="F313" s="114">
        <v>8</v>
      </c>
      <c r="G313" s="70"/>
      <c r="H313" s="65">
        <v>35</v>
      </c>
      <c r="I313" s="119">
        <f t="shared" si="43"/>
        <v>0.35000000000000003</v>
      </c>
    </row>
    <row r="314" spans="2:9" x14ac:dyDescent="0.25">
      <c r="C314" s="69"/>
      <c r="D314" s="7" t="s">
        <v>150</v>
      </c>
      <c r="E314" s="114">
        <v>2.5</v>
      </c>
      <c r="F314" s="114">
        <v>2</v>
      </c>
      <c r="G314" s="70"/>
      <c r="I314" s="119">
        <f t="shared" si="43"/>
        <v>0</v>
      </c>
    </row>
    <row r="315" spans="2:9" x14ac:dyDescent="0.25">
      <c r="C315" s="69"/>
      <c r="D315" s="7" t="s">
        <v>125</v>
      </c>
      <c r="E315" s="114">
        <v>4</v>
      </c>
      <c r="F315" s="114">
        <v>4</v>
      </c>
      <c r="G315" s="70"/>
      <c r="H315" s="65">
        <v>163</v>
      </c>
      <c r="I315" s="119">
        <f t="shared" si="43"/>
        <v>0.65200000000000002</v>
      </c>
    </row>
    <row r="316" spans="2:9" x14ac:dyDescent="0.25">
      <c r="C316" s="69"/>
      <c r="D316" s="7" t="s">
        <v>151</v>
      </c>
      <c r="E316" s="114">
        <v>0.04</v>
      </c>
      <c r="F316" s="114">
        <v>0.04</v>
      </c>
      <c r="G316" s="70"/>
      <c r="H316" s="65">
        <v>1000</v>
      </c>
      <c r="I316" s="119">
        <f t="shared" si="43"/>
        <v>0.04</v>
      </c>
    </row>
    <row r="317" spans="2:9" x14ac:dyDescent="0.25">
      <c r="C317" s="69"/>
      <c r="D317" s="7" t="s">
        <v>34</v>
      </c>
      <c r="E317" s="114">
        <v>0.3</v>
      </c>
      <c r="F317" s="114">
        <v>0.3</v>
      </c>
      <c r="G317" s="70"/>
      <c r="H317" s="65">
        <v>20</v>
      </c>
      <c r="I317" s="119">
        <f t="shared" si="43"/>
        <v>6.0000000000000001E-3</v>
      </c>
    </row>
    <row r="318" spans="2:9" x14ac:dyDescent="0.25">
      <c r="C318" s="69"/>
      <c r="D318" s="7" t="s">
        <v>302</v>
      </c>
      <c r="E318" s="114">
        <v>130</v>
      </c>
      <c r="F318" s="114">
        <v>130</v>
      </c>
      <c r="G318" s="70"/>
      <c r="I318" s="119">
        <f t="shared" si="43"/>
        <v>0</v>
      </c>
    </row>
    <row r="319" spans="2:9" x14ac:dyDescent="0.25">
      <c r="C319" s="69"/>
      <c r="D319" s="7" t="s">
        <v>303</v>
      </c>
      <c r="E319" s="114">
        <v>130</v>
      </c>
      <c r="F319" s="114">
        <v>130</v>
      </c>
      <c r="G319" s="70"/>
      <c r="I319" s="119">
        <f t="shared" si="43"/>
        <v>0</v>
      </c>
    </row>
    <row r="320" spans="2:9" x14ac:dyDescent="0.25">
      <c r="C320" s="69"/>
      <c r="D320" s="56" t="s">
        <v>154</v>
      </c>
      <c r="E320" s="114" t="s">
        <v>35</v>
      </c>
      <c r="F320" s="114" t="s">
        <v>35</v>
      </c>
      <c r="G320" s="70"/>
      <c r="I320" s="99">
        <f>SUM(I310:I319)</f>
        <v>4.2700000000000005</v>
      </c>
    </row>
    <row r="321" spans="2:9" x14ac:dyDescent="0.25">
      <c r="B321" s="128"/>
      <c r="C321" s="69"/>
      <c r="D321" s="136"/>
      <c r="E321" s="113"/>
      <c r="F321" s="113"/>
      <c r="G321" s="70"/>
    </row>
    <row r="322" spans="2:9" ht="25.5" x14ac:dyDescent="0.25">
      <c r="B322" s="73" t="s">
        <v>78</v>
      </c>
      <c r="C322" s="69">
        <v>180</v>
      </c>
      <c r="D322" s="7" t="s">
        <v>316</v>
      </c>
      <c r="E322" s="185">
        <v>110.05</v>
      </c>
      <c r="F322" s="185" t="s">
        <v>317</v>
      </c>
      <c r="G322" s="70"/>
      <c r="I322" s="119">
        <f t="shared" ref="I322:I329" si="44">H322/1000*E322</f>
        <v>0</v>
      </c>
    </row>
    <row r="323" spans="2:9" ht="25.5" x14ac:dyDescent="0.25">
      <c r="C323" s="69"/>
      <c r="D323" s="7" t="s">
        <v>318</v>
      </c>
      <c r="E323" s="185">
        <v>110.05</v>
      </c>
      <c r="F323" s="185">
        <v>81.25</v>
      </c>
      <c r="G323" s="70"/>
      <c r="H323" s="65">
        <v>614</v>
      </c>
      <c r="I323" s="119">
        <f t="shared" si="44"/>
        <v>67.570700000000002</v>
      </c>
    </row>
    <row r="324" spans="2:9" x14ac:dyDescent="0.25">
      <c r="C324" s="69"/>
      <c r="D324" s="7" t="s">
        <v>319</v>
      </c>
      <c r="E324" s="185">
        <v>89.48</v>
      </c>
      <c r="F324" s="185">
        <v>76.12</v>
      </c>
      <c r="G324" s="70"/>
      <c r="H324" s="65">
        <v>398</v>
      </c>
    </row>
    <row r="325" spans="2:9" ht="25.5" x14ac:dyDescent="0.25">
      <c r="C325" s="69"/>
      <c r="D325" s="7" t="s">
        <v>320</v>
      </c>
      <c r="E325" s="185">
        <v>89.48</v>
      </c>
      <c r="F325" s="185">
        <v>76.12</v>
      </c>
      <c r="G325" s="70"/>
      <c r="I325" s="119">
        <f t="shared" ref="I325:I332" si="45">H325/1000*E325</f>
        <v>0</v>
      </c>
    </row>
    <row r="326" spans="2:9" x14ac:dyDescent="0.25">
      <c r="C326" s="69"/>
      <c r="D326" s="7" t="s">
        <v>130</v>
      </c>
      <c r="E326" s="185">
        <v>136.80000000000001</v>
      </c>
      <c r="F326" s="185">
        <v>102.85</v>
      </c>
      <c r="G326" s="70"/>
      <c r="H326" s="65">
        <v>30</v>
      </c>
      <c r="I326" s="119">
        <f t="shared" si="45"/>
        <v>4.1040000000000001</v>
      </c>
    </row>
    <row r="327" spans="2:9" x14ac:dyDescent="0.25">
      <c r="C327" s="69"/>
      <c r="D327" s="7" t="s">
        <v>132</v>
      </c>
      <c r="E327" s="185">
        <v>12.35</v>
      </c>
      <c r="F327" s="185">
        <v>10.28</v>
      </c>
      <c r="G327" s="70"/>
      <c r="H327" s="65">
        <v>27</v>
      </c>
      <c r="I327" s="119">
        <f t="shared" si="45"/>
        <v>0.33344999999999997</v>
      </c>
    </row>
    <row r="328" spans="2:9" x14ac:dyDescent="0.25">
      <c r="C328" s="69"/>
      <c r="D328" s="7" t="s">
        <v>133</v>
      </c>
      <c r="E328" s="185">
        <v>6.17</v>
      </c>
      <c r="F328" s="185">
        <v>6.17</v>
      </c>
      <c r="G328" s="70"/>
      <c r="H328" s="65">
        <v>210</v>
      </c>
      <c r="I328" s="119">
        <f t="shared" si="45"/>
        <v>1.2956999999999999</v>
      </c>
    </row>
    <row r="329" spans="2:9" x14ac:dyDescent="0.25">
      <c r="C329" s="69"/>
      <c r="D329" s="7" t="s">
        <v>125</v>
      </c>
      <c r="E329" s="185">
        <v>6.17</v>
      </c>
      <c r="F329" s="185">
        <v>6.17</v>
      </c>
      <c r="G329" s="70"/>
      <c r="H329" s="65">
        <v>163</v>
      </c>
      <c r="I329" s="119">
        <f t="shared" si="45"/>
        <v>1.0057100000000001</v>
      </c>
    </row>
    <row r="330" spans="2:9" x14ac:dyDescent="0.25">
      <c r="C330" s="69"/>
      <c r="D330" s="7" t="s">
        <v>321</v>
      </c>
      <c r="E330" s="185" t="s">
        <v>35</v>
      </c>
      <c r="F330" s="185">
        <v>51.43</v>
      </c>
      <c r="G330" s="70"/>
    </row>
    <row r="331" spans="2:9" x14ac:dyDescent="0.25">
      <c r="C331" s="69"/>
      <c r="D331" s="7" t="s">
        <v>322</v>
      </c>
      <c r="E331" s="185" t="s">
        <v>35</v>
      </c>
      <c r="F331" s="185">
        <v>128.57</v>
      </c>
      <c r="G331" s="70"/>
    </row>
    <row r="332" spans="2:9" x14ac:dyDescent="0.25">
      <c r="C332" s="69"/>
      <c r="D332" s="56" t="s">
        <v>156</v>
      </c>
      <c r="E332" s="185" t="s">
        <v>35</v>
      </c>
      <c r="F332" s="185" t="s">
        <v>35</v>
      </c>
      <c r="G332" s="70"/>
      <c r="I332" s="99">
        <f>SUM(I322:I331)</f>
        <v>74.309559999999991</v>
      </c>
    </row>
    <row r="333" spans="2:9" ht="12" customHeight="1" x14ac:dyDescent="0.25">
      <c r="C333" s="69"/>
      <c r="D333" s="7"/>
      <c r="E333" s="19"/>
      <c r="F333" s="19"/>
      <c r="G333" s="70"/>
    </row>
    <row r="334" spans="2:9" x14ac:dyDescent="0.25">
      <c r="B334" s="73" t="s">
        <v>157</v>
      </c>
      <c r="C334" s="65">
        <v>200</v>
      </c>
      <c r="D334" s="7" t="s">
        <v>33</v>
      </c>
      <c r="E334" s="114">
        <v>7</v>
      </c>
      <c r="F334" s="114">
        <v>7</v>
      </c>
      <c r="G334" s="70"/>
      <c r="H334" s="65">
        <v>80</v>
      </c>
      <c r="I334" s="119">
        <f t="shared" ref="I334:I335" si="46">H334/1000*E334</f>
        <v>0.56000000000000005</v>
      </c>
    </row>
    <row r="335" spans="2:9" x14ac:dyDescent="0.25">
      <c r="D335" s="7" t="s">
        <v>158</v>
      </c>
      <c r="E335" s="114">
        <v>26.8</v>
      </c>
      <c r="F335" s="114">
        <v>25</v>
      </c>
      <c r="G335" s="70"/>
      <c r="H335" s="65">
        <v>138</v>
      </c>
      <c r="I335" s="119">
        <f t="shared" si="46"/>
        <v>3.6984000000000004</v>
      </c>
    </row>
    <row r="336" spans="2:9" x14ac:dyDescent="0.25">
      <c r="D336" s="7" t="s">
        <v>32</v>
      </c>
      <c r="E336" s="114">
        <v>190</v>
      </c>
      <c r="F336" s="114">
        <v>190</v>
      </c>
      <c r="G336" s="70"/>
    </row>
    <row r="337" spans="1:9" x14ac:dyDescent="0.25">
      <c r="D337" s="56" t="s">
        <v>154</v>
      </c>
      <c r="E337" s="114" t="s">
        <v>35</v>
      </c>
      <c r="F337" s="114" t="s">
        <v>35</v>
      </c>
      <c r="G337" s="70"/>
      <c r="I337" s="99">
        <f>SUM(I334:I336)</f>
        <v>4.2584</v>
      </c>
    </row>
    <row r="339" spans="1:9" x14ac:dyDescent="0.25">
      <c r="B339" s="5" t="s">
        <v>90</v>
      </c>
      <c r="C339" s="8">
        <v>30</v>
      </c>
      <c r="D339" s="5" t="s">
        <v>90</v>
      </c>
      <c r="E339" s="8">
        <v>30</v>
      </c>
      <c r="F339" s="5"/>
      <c r="G339" s="5"/>
      <c r="H339" s="5">
        <v>55.1</v>
      </c>
      <c r="I339" s="51">
        <f t="shared" ref="I339" si="47">H339/1000*E339</f>
        <v>1.653</v>
      </c>
    </row>
    <row r="340" spans="1:9" x14ac:dyDescent="0.25">
      <c r="I340" s="51"/>
    </row>
    <row r="341" spans="1:9" x14ac:dyDescent="0.25">
      <c r="B341" s="65" t="s">
        <v>145</v>
      </c>
      <c r="C341" s="65">
        <v>40</v>
      </c>
      <c r="D341" s="65" t="s">
        <v>145</v>
      </c>
      <c r="E341" s="65">
        <v>40</v>
      </c>
      <c r="H341" s="65">
        <v>35.9</v>
      </c>
      <c r="I341" s="51">
        <f t="shared" ref="I341" si="48">H341/1000*E341</f>
        <v>1.4359999999999999</v>
      </c>
    </row>
    <row r="343" spans="1:9" s="102" customFormat="1" x14ac:dyDescent="0.25">
      <c r="A343" s="15" t="s">
        <v>214</v>
      </c>
      <c r="B343" s="101"/>
      <c r="C343" s="101"/>
      <c r="D343" s="104"/>
      <c r="E343" s="104"/>
      <c r="F343" s="104"/>
      <c r="G343" s="101"/>
      <c r="H343" s="101"/>
      <c r="I343" s="103">
        <f>I348+I363+I369+I384+I390+I392+I394</f>
        <v>63.073477400000002</v>
      </c>
    </row>
    <row r="344" spans="1:9" x14ac:dyDescent="0.25">
      <c r="B344" s="89" t="s">
        <v>77</v>
      </c>
      <c r="C344" s="69">
        <v>60</v>
      </c>
      <c r="D344" s="7" t="s">
        <v>146</v>
      </c>
      <c r="E344" s="19">
        <v>60.78</v>
      </c>
      <c r="F344" s="19">
        <v>48.6</v>
      </c>
      <c r="G344" s="70"/>
      <c r="H344" s="65">
        <v>74.33</v>
      </c>
      <c r="I344" s="119">
        <f t="shared" ref="I344:I347" si="49">H344/1000*E344</f>
        <v>4.5177773999999999</v>
      </c>
    </row>
    <row r="345" spans="1:9" x14ac:dyDescent="0.25">
      <c r="C345" s="69"/>
      <c r="D345" s="7" t="s">
        <v>147</v>
      </c>
      <c r="E345" s="19">
        <v>11.28</v>
      </c>
      <c r="F345" s="19">
        <v>9</v>
      </c>
      <c r="G345" s="70"/>
      <c r="I345" s="119">
        <f t="shared" si="49"/>
        <v>0</v>
      </c>
    </row>
    <row r="346" spans="1:9" x14ac:dyDescent="0.25">
      <c r="C346" s="69"/>
      <c r="D346" s="7" t="s">
        <v>148</v>
      </c>
      <c r="E346" s="19">
        <v>10.74</v>
      </c>
      <c r="F346" s="19">
        <v>9</v>
      </c>
      <c r="G346" s="70"/>
      <c r="H346" s="65">
        <v>20</v>
      </c>
      <c r="I346" s="119">
        <f t="shared" si="49"/>
        <v>0.21480000000000002</v>
      </c>
    </row>
    <row r="347" spans="1:9" x14ac:dyDescent="0.25">
      <c r="C347" s="69"/>
      <c r="D347" s="7" t="s">
        <v>125</v>
      </c>
      <c r="E347" s="19">
        <v>3</v>
      </c>
      <c r="F347" s="19">
        <v>3</v>
      </c>
      <c r="G347" s="70"/>
      <c r="H347" s="65">
        <v>163</v>
      </c>
      <c r="I347" s="119">
        <f t="shared" si="49"/>
        <v>0.48899999999999999</v>
      </c>
    </row>
    <row r="348" spans="1:9" x14ac:dyDescent="0.25">
      <c r="C348" s="69"/>
      <c r="D348" s="56" t="s">
        <v>23</v>
      </c>
      <c r="E348" s="217">
        <v>60</v>
      </c>
      <c r="F348" s="217"/>
      <c r="G348" s="70"/>
      <c r="I348" s="99">
        <f>I344+I346+I347</f>
        <v>5.2215774000000001</v>
      </c>
    </row>
    <row r="349" spans="1:9" x14ac:dyDescent="0.25">
      <c r="D349" s="71"/>
      <c r="E349" s="71"/>
      <c r="F349" s="71"/>
    </row>
    <row r="350" spans="1:9" x14ac:dyDescent="0.25">
      <c r="B350" s="65" t="s">
        <v>215</v>
      </c>
      <c r="C350" s="69">
        <v>200</v>
      </c>
      <c r="D350" s="7" t="s">
        <v>216</v>
      </c>
      <c r="E350" s="19">
        <v>2</v>
      </c>
      <c r="F350" s="19">
        <v>2</v>
      </c>
      <c r="G350" s="70"/>
      <c r="H350" s="65">
        <v>163</v>
      </c>
      <c r="I350" s="119">
        <f t="shared" ref="I350:I362" si="50">H350/1000*E350</f>
        <v>0.32600000000000001</v>
      </c>
    </row>
    <row r="351" spans="1:9" hidden="1" x14ac:dyDescent="0.25">
      <c r="C351" s="69"/>
      <c r="D351" s="7" t="s">
        <v>217</v>
      </c>
      <c r="E351" s="19" t="s">
        <v>35</v>
      </c>
      <c r="F351" s="19">
        <v>140</v>
      </c>
      <c r="G351" s="70"/>
    </row>
    <row r="352" spans="1:9" x14ac:dyDescent="0.25">
      <c r="C352" s="69"/>
      <c r="D352" s="7" t="s">
        <v>136</v>
      </c>
      <c r="E352" s="19">
        <v>140</v>
      </c>
      <c r="F352" s="19">
        <v>140</v>
      </c>
      <c r="G352" s="70"/>
      <c r="I352" s="119">
        <f t="shared" si="50"/>
        <v>0</v>
      </c>
    </row>
    <row r="353" spans="2:9" x14ac:dyDescent="0.25">
      <c r="C353" s="69"/>
      <c r="D353" s="7" t="s">
        <v>130</v>
      </c>
      <c r="E353" s="19">
        <v>80</v>
      </c>
      <c r="F353" s="19">
        <v>60</v>
      </c>
      <c r="G353" s="70"/>
      <c r="H353" s="65">
        <v>30</v>
      </c>
      <c r="I353" s="119">
        <f t="shared" si="50"/>
        <v>2.4</v>
      </c>
    </row>
    <row r="354" spans="2:9" hidden="1" x14ac:dyDescent="0.25">
      <c r="C354" s="69"/>
      <c r="D354" s="7" t="s">
        <v>218</v>
      </c>
      <c r="E354" s="19">
        <v>8</v>
      </c>
      <c r="F354" s="19">
        <v>8</v>
      </c>
      <c r="G354" s="70"/>
      <c r="I354" s="119">
        <f t="shared" si="50"/>
        <v>0</v>
      </c>
    </row>
    <row r="355" spans="2:9" hidden="1" x14ac:dyDescent="0.25">
      <c r="C355" s="69"/>
      <c r="D355" s="7" t="s">
        <v>219</v>
      </c>
      <c r="E355" s="19">
        <v>8</v>
      </c>
      <c r="F355" s="19">
        <v>8</v>
      </c>
      <c r="G355" s="70"/>
      <c r="I355" s="119">
        <f t="shared" si="50"/>
        <v>0</v>
      </c>
    </row>
    <row r="356" spans="2:9" hidden="1" x14ac:dyDescent="0.25">
      <c r="C356" s="69"/>
      <c r="D356" s="7" t="s">
        <v>220</v>
      </c>
      <c r="E356" s="19">
        <v>8</v>
      </c>
      <c r="F356" s="19">
        <v>8</v>
      </c>
      <c r="G356" s="70"/>
      <c r="I356" s="119">
        <f t="shared" si="50"/>
        <v>0</v>
      </c>
    </row>
    <row r="357" spans="2:9" hidden="1" x14ac:dyDescent="0.25">
      <c r="C357" s="69"/>
      <c r="D357" s="7" t="s">
        <v>221</v>
      </c>
      <c r="E357" s="19">
        <v>6</v>
      </c>
      <c r="F357" s="19">
        <v>6</v>
      </c>
      <c r="G357" s="70"/>
      <c r="I357" s="119">
        <f t="shared" si="50"/>
        <v>0</v>
      </c>
    </row>
    <row r="358" spans="2:9" ht="25.5" hidden="1" x14ac:dyDescent="0.25">
      <c r="C358" s="69"/>
      <c r="D358" s="7" t="s">
        <v>222</v>
      </c>
      <c r="E358" s="19">
        <v>4</v>
      </c>
      <c r="F358" s="19">
        <v>4</v>
      </c>
      <c r="G358" s="70"/>
      <c r="I358" s="119">
        <f t="shared" si="50"/>
        <v>0</v>
      </c>
    </row>
    <row r="359" spans="2:9" ht="25.5" x14ac:dyDescent="0.25">
      <c r="C359" s="69"/>
      <c r="D359" s="7" t="s">
        <v>223</v>
      </c>
      <c r="E359" s="19">
        <v>4</v>
      </c>
      <c r="F359" s="19">
        <v>4</v>
      </c>
      <c r="G359" s="70"/>
      <c r="H359" s="65">
        <v>35</v>
      </c>
      <c r="I359" s="119">
        <f t="shared" si="50"/>
        <v>0.14000000000000001</v>
      </c>
    </row>
    <row r="360" spans="2:9" ht="25.5" hidden="1" x14ac:dyDescent="0.25">
      <c r="C360" s="69"/>
      <c r="D360" s="7" t="s">
        <v>224</v>
      </c>
      <c r="E360" s="19">
        <v>4</v>
      </c>
      <c r="F360" s="19">
        <v>4</v>
      </c>
      <c r="G360" s="70"/>
      <c r="I360" s="119">
        <f t="shared" si="50"/>
        <v>0</v>
      </c>
    </row>
    <row r="361" spans="2:9" x14ac:dyDescent="0.25">
      <c r="C361" s="69"/>
      <c r="D361" s="7" t="s">
        <v>225</v>
      </c>
      <c r="E361" s="19">
        <v>10</v>
      </c>
      <c r="F361" s="19">
        <v>8</v>
      </c>
      <c r="G361" s="70"/>
      <c r="H361" s="65">
        <v>35</v>
      </c>
      <c r="I361" s="119">
        <f t="shared" si="50"/>
        <v>0.35000000000000003</v>
      </c>
    </row>
    <row r="362" spans="2:9" x14ac:dyDescent="0.25">
      <c r="C362" s="69"/>
      <c r="D362" s="7" t="s">
        <v>132</v>
      </c>
      <c r="E362" s="19">
        <v>9.6</v>
      </c>
      <c r="F362" s="19">
        <v>8</v>
      </c>
      <c r="G362" s="70"/>
      <c r="H362" s="65">
        <v>27</v>
      </c>
      <c r="I362" s="119">
        <f t="shared" si="50"/>
        <v>0.25919999999999999</v>
      </c>
    </row>
    <row r="363" spans="2:9" x14ac:dyDescent="0.25">
      <c r="C363" s="69"/>
      <c r="D363" s="56" t="s">
        <v>154</v>
      </c>
      <c r="E363" s="19" t="s">
        <v>35</v>
      </c>
      <c r="F363" s="19" t="s">
        <v>35</v>
      </c>
      <c r="G363" s="70"/>
      <c r="I363" s="99">
        <f>SUM(I350:I362)</f>
        <v>3.4752000000000001</v>
      </c>
    </row>
    <row r="365" spans="2:9" x14ac:dyDescent="0.25">
      <c r="B365" s="65" t="s">
        <v>189</v>
      </c>
      <c r="C365" s="69">
        <v>150</v>
      </c>
      <c r="D365" s="7" t="s">
        <v>188</v>
      </c>
      <c r="E365" s="114">
        <v>69</v>
      </c>
      <c r="F365" s="114">
        <v>69</v>
      </c>
      <c r="G365" s="70"/>
      <c r="H365" s="65">
        <v>80</v>
      </c>
      <c r="I365" s="119">
        <f t="shared" ref="I365:I368" si="51">H365/1000*E365</f>
        <v>5.5200000000000005</v>
      </c>
    </row>
    <row r="366" spans="2:9" x14ac:dyDescent="0.25">
      <c r="C366" s="69"/>
      <c r="D366" s="7" t="s">
        <v>22</v>
      </c>
      <c r="E366" s="114">
        <v>6.8</v>
      </c>
      <c r="F366" s="114">
        <v>6.8</v>
      </c>
      <c r="G366" s="70"/>
      <c r="H366" s="65">
        <v>990</v>
      </c>
      <c r="I366" s="119">
        <f t="shared" si="51"/>
        <v>6.7320000000000002</v>
      </c>
    </row>
    <row r="367" spans="2:9" x14ac:dyDescent="0.25">
      <c r="C367" s="69"/>
      <c r="D367" s="7" t="s">
        <v>34</v>
      </c>
      <c r="E367" s="114">
        <v>0.5</v>
      </c>
      <c r="F367" s="114">
        <v>0.5</v>
      </c>
      <c r="G367" s="70"/>
      <c r="H367" s="65">
        <v>20</v>
      </c>
      <c r="I367" s="119">
        <f t="shared" si="51"/>
        <v>0.01</v>
      </c>
    </row>
    <row r="368" spans="2:9" x14ac:dyDescent="0.25">
      <c r="C368" s="69"/>
      <c r="D368" s="7" t="s">
        <v>32</v>
      </c>
      <c r="E368" s="114">
        <v>102</v>
      </c>
      <c r="F368" s="114">
        <v>102</v>
      </c>
      <c r="G368" s="70"/>
      <c r="I368" s="119">
        <f t="shared" si="51"/>
        <v>0</v>
      </c>
    </row>
    <row r="369" spans="2:9" x14ac:dyDescent="0.25">
      <c r="C369" s="69"/>
      <c r="D369" s="56" t="s">
        <v>177</v>
      </c>
      <c r="E369" s="114" t="s">
        <v>35</v>
      </c>
      <c r="F369" s="114" t="s">
        <v>35</v>
      </c>
      <c r="G369" s="70"/>
      <c r="I369" s="99">
        <f>SUM(I365:I368)</f>
        <v>12.262</v>
      </c>
    </row>
    <row r="370" spans="2:9" x14ac:dyDescent="0.25">
      <c r="D370" s="71"/>
      <c r="E370" s="71"/>
      <c r="F370" s="71"/>
    </row>
    <row r="371" spans="2:9" ht="25.5" x14ac:dyDescent="0.25">
      <c r="B371" s="65" t="s">
        <v>323</v>
      </c>
      <c r="C371" s="69">
        <v>90</v>
      </c>
      <c r="D371" s="7" t="s">
        <v>324</v>
      </c>
      <c r="E371" s="123">
        <v>96.3</v>
      </c>
      <c r="F371" s="123">
        <v>71.099999999999994</v>
      </c>
      <c r="G371" s="70"/>
      <c r="I371" s="119">
        <f t="shared" ref="I371:I381" si="52">H371/1000*E371</f>
        <v>0</v>
      </c>
    </row>
    <row r="372" spans="2:9" ht="25.5" x14ac:dyDescent="0.25">
      <c r="C372" s="69"/>
      <c r="D372" s="7" t="s">
        <v>325</v>
      </c>
      <c r="E372" s="123">
        <v>96.3</v>
      </c>
      <c r="F372" s="123">
        <v>71.099999999999994</v>
      </c>
      <c r="G372" s="70"/>
      <c r="H372" s="92"/>
      <c r="I372" s="119">
        <f t="shared" si="52"/>
        <v>0</v>
      </c>
    </row>
    <row r="373" spans="2:9" ht="25.5" x14ac:dyDescent="0.25">
      <c r="C373" s="69"/>
      <c r="D373" s="7" t="s">
        <v>326</v>
      </c>
      <c r="E373" s="123">
        <v>96.3</v>
      </c>
      <c r="F373" s="123">
        <v>71.099999999999994</v>
      </c>
      <c r="G373" s="70"/>
      <c r="I373" s="119">
        <f t="shared" si="52"/>
        <v>0</v>
      </c>
    </row>
    <row r="374" spans="2:9" ht="25.5" x14ac:dyDescent="0.25">
      <c r="C374" s="69"/>
      <c r="D374" s="7" t="s">
        <v>327</v>
      </c>
      <c r="E374" s="123">
        <v>96.3</v>
      </c>
      <c r="F374" s="123">
        <v>71.099999999999994</v>
      </c>
      <c r="G374" s="70"/>
      <c r="I374" s="119">
        <f t="shared" si="52"/>
        <v>0</v>
      </c>
    </row>
    <row r="375" spans="2:9" x14ac:dyDescent="0.25">
      <c r="C375" s="69"/>
      <c r="D375" s="7" t="s">
        <v>328</v>
      </c>
      <c r="E375" s="123">
        <v>96.3</v>
      </c>
      <c r="F375" s="123">
        <v>71.099999999999994</v>
      </c>
      <c r="G375" s="70"/>
      <c r="I375" s="119">
        <f t="shared" si="52"/>
        <v>0</v>
      </c>
    </row>
    <row r="376" spans="2:9" ht="25.5" customHeight="1" x14ac:dyDescent="0.25">
      <c r="C376" s="69"/>
      <c r="D376" s="7" t="s">
        <v>319</v>
      </c>
      <c r="E376" s="123">
        <v>78.3</v>
      </c>
      <c r="F376" s="123">
        <v>66.599999999999994</v>
      </c>
      <c r="G376" s="70"/>
      <c r="H376" s="65">
        <v>398</v>
      </c>
      <c r="I376" s="119">
        <f t="shared" si="52"/>
        <v>31.163399999999999</v>
      </c>
    </row>
    <row r="377" spans="2:9" ht="25.5" x14ac:dyDescent="0.25">
      <c r="C377" s="69"/>
      <c r="D377" s="7" t="s">
        <v>320</v>
      </c>
      <c r="E377" s="123">
        <v>78.3</v>
      </c>
      <c r="F377" s="123">
        <v>66.599999999999994</v>
      </c>
      <c r="G377" s="70"/>
      <c r="H377" s="65">
        <v>0</v>
      </c>
      <c r="I377" s="119">
        <f t="shared" si="52"/>
        <v>0</v>
      </c>
    </row>
    <row r="378" spans="2:9" x14ac:dyDescent="0.25">
      <c r="C378" s="69"/>
      <c r="D378" s="7" t="s">
        <v>125</v>
      </c>
      <c r="E378" s="123">
        <v>4.5</v>
      </c>
      <c r="F378" s="141">
        <v>44320</v>
      </c>
      <c r="G378" s="70"/>
      <c r="H378" s="65">
        <v>163</v>
      </c>
      <c r="I378" s="119">
        <f t="shared" si="52"/>
        <v>0.73350000000000004</v>
      </c>
    </row>
    <row r="379" spans="2:9" x14ac:dyDescent="0.25">
      <c r="C379" s="69"/>
      <c r="D379" s="7" t="s">
        <v>132</v>
      </c>
      <c r="E379" s="123">
        <v>10.8</v>
      </c>
      <c r="F379" s="123">
        <v>9</v>
      </c>
      <c r="G379" s="70"/>
      <c r="H379" s="65">
        <v>27</v>
      </c>
      <c r="I379" s="119">
        <f t="shared" si="52"/>
        <v>0.29160000000000003</v>
      </c>
    </row>
    <row r="380" spans="2:9" x14ac:dyDescent="0.25">
      <c r="C380" s="69"/>
      <c r="D380" s="7" t="s">
        <v>133</v>
      </c>
      <c r="E380" s="123">
        <v>7.2</v>
      </c>
      <c r="F380" s="123">
        <v>7.2</v>
      </c>
      <c r="G380" s="70"/>
      <c r="H380" s="65">
        <v>210</v>
      </c>
      <c r="I380" s="119">
        <f t="shared" si="52"/>
        <v>1.512</v>
      </c>
    </row>
    <row r="381" spans="2:9" x14ac:dyDescent="0.25">
      <c r="C381" s="69"/>
      <c r="D381" s="7" t="s">
        <v>203</v>
      </c>
      <c r="E381" s="123">
        <v>1.8</v>
      </c>
      <c r="F381" s="123">
        <v>1.8</v>
      </c>
      <c r="G381" s="70"/>
      <c r="H381" s="65">
        <v>39</v>
      </c>
      <c r="I381" s="119">
        <f t="shared" si="52"/>
        <v>7.0199999999999999E-2</v>
      </c>
    </row>
    <row r="382" spans="2:9" x14ac:dyDescent="0.25">
      <c r="C382" s="69"/>
      <c r="D382" s="7" t="s">
        <v>321</v>
      </c>
      <c r="E382" s="123" t="s">
        <v>35</v>
      </c>
      <c r="F382" s="123">
        <v>45</v>
      </c>
      <c r="G382" s="70"/>
    </row>
    <row r="383" spans="2:9" x14ac:dyDescent="0.25">
      <c r="C383" s="69"/>
      <c r="D383" s="7" t="s">
        <v>329</v>
      </c>
      <c r="E383" s="123" t="s">
        <v>35</v>
      </c>
      <c r="F383" s="123">
        <v>45</v>
      </c>
      <c r="G383" s="70"/>
    </row>
    <row r="384" spans="2:9" x14ac:dyDescent="0.25">
      <c r="C384" s="69"/>
      <c r="D384" s="56" t="s">
        <v>213</v>
      </c>
      <c r="E384" s="123" t="s">
        <v>35</v>
      </c>
      <c r="F384" s="123" t="s">
        <v>35</v>
      </c>
      <c r="G384" s="70"/>
      <c r="I384" s="99">
        <f>SUM(I371:I383)</f>
        <v>33.770699999999998</v>
      </c>
    </row>
    <row r="385" spans="1:19" x14ac:dyDescent="0.25">
      <c r="C385" s="69"/>
      <c r="D385" s="136"/>
      <c r="E385" s="124"/>
      <c r="F385" s="124"/>
      <c r="G385" s="70"/>
      <c r="I385" s="99"/>
    </row>
    <row r="386" spans="1:19" x14ac:dyDescent="0.25">
      <c r="C386" s="69"/>
      <c r="D386" s="56"/>
      <c r="E386" s="114"/>
      <c r="F386" s="114"/>
      <c r="G386" s="70"/>
      <c r="I386" s="99"/>
    </row>
    <row r="387" spans="1:19" x14ac:dyDescent="0.25">
      <c r="B387" s="65" t="s">
        <v>299</v>
      </c>
      <c r="C387" s="69">
        <v>200</v>
      </c>
      <c r="D387" s="7" t="s">
        <v>300</v>
      </c>
      <c r="E387" s="114">
        <v>17</v>
      </c>
      <c r="F387" s="114">
        <v>7</v>
      </c>
      <c r="G387" s="70"/>
      <c r="H387" s="65">
        <v>215</v>
      </c>
      <c r="I387" s="46">
        <f t="shared" ref="I387:I389" si="53">H387/1000*E387</f>
        <v>3.6549999999999998</v>
      </c>
    </row>
    <row r="388" spans="1:19" x14ac:dyDescent="0.25">
      <c r="C388" s="69"/>
      <c r="D388" s="7" t="s">
        <v>32</v>
      </c>
      <c r="E388" s="114">
        <v>214</v>
      </c>
      <c r="F388" s="114">
        <v>214</v>
      </c>
      <c r="G388" s="70"/>
      <c r="H388" s="65">
        <v>0</v>
      </c>
      <c r="I388" s="46">
        <f t="shared" si="53"/>
        <v>0</v>
      </c>
    </row>
    <row r="389" spans="1:19" x14ac:dyDescent="0.25">
      <c r="C389" s="69"/>
      <c r="D389" s="7" t="s">
        <v>33</v>
      </c>
      <c r="E389" s="114">
        <v>20</v>
      </c>
      <c r="F389" s="114">
        <v>20</v>
      </c>
      <c r="G389" s="70"/>
      <c r="H389" s="65">
        <v>80</v>
      </c>
      <c r="I389" s="46">
        <f t="shared" si="53"/>
        <v>1.6</v>
      </c>
    </row>
    <row r="390" spans="1:19" x14ac:dyDescent="0.25">
      <c r="C390" s="69"/>
      <c r="D390" s="56" t="s">
        <v>154</v>
      </c>
      <c r="E390" s="114" t="s">
        <v>35</v>
      </c>
      <c r="F390" s="114" t="s">
        <v>35</v>
      </c>
      <c r="G390" s="70"/>
      <c r="I390" s="99">
        <f>SUM(I387:I389)</f>
        <v>5.2549999999999999</v>
      </c>
    </row>
    <row r="392" spans="1:19" x14ac:dyDescent="0.25">
      <c r="B392" s="5" t="s">
        <v>90</v>
      </c>
      <c r="C392" s="8">
        <v>30</v>
      </c>
      <c r="D392" s="5" t="s">
        <v>90</v>
      </c>
      <c r="E392" s="8">
        <v>30</v>
      </c>
      <c r="F392" s="5"/>
      <c r="G392" s="5"/>
      <c r="H392" s="5">
        <v>55.1</v>
      </c>
      <c r="I392" s="51">
        <f t="shared" ref="I392" si="54">H392/1000*E392</f>
        <v>1.653</v>
      </c>
    </row>
    <row r="393" spans="1:19" x14ac:dyDescent="0.25">
      <c r="I393" s="51"/>
    </row>
    <row r="394" spans="1:19" x14ac:dyDescent="0.25">
      <c r="B394" s="65" t="s">
        <v>145</v>
      </c>
      <c r="C394" s="65">
        <v>40</v>
      </c>
      <c r="D394" s="65" t="s">
        <v>145</v>
      </c>
      <c r="E394" s="65">
        <v>40</v>
      </c>
      <c r="H394" s="65">
        <v>35.9</v>
      </c>
      <c r="I394" s="51">
        <f t="shared" ref="I394" si="55">H394/1000*E394</f>
        <v>1.4359999999999999</v>
      </c>
    </row>
    <row r="396" spans="1:19" s="102" customFormat="1" x14ac:dyDescent="0.25">
      <c r="A396" s="15" t="s">
        <v>226</v>
      </c>
      <c r="B396" s="101"/>
      <c r="C396" s="101"/>
      <c r="D396" s="104"/>
      <c r="E396" s="104"/>
      <c r="F396" s="104"/>
      <c r="G396" s="101"/>
      <c r="H396" s="101"/>
      <c r="I396" s="103">
        <f>I404+I415+I422+I431+I436+I439+I441</f>
        <v>54.257417099999998</v>
      </c>
    </row>
    <row r="397" spans="1:19" x14ac:dyDescent="0.25">
      <c r="B397" s="106" t="s">
        <v>227</v>
      </c>
      <c r="C397" s="69">
        <v>60</v>
      </c>
      <c r="D397" s="7" t="s">
        <v>129</v>
      </c>
      <c r="E397" s="19">
        <v>63</v>
      </c>
      <c r="F397" s="19">
        <v>50.4</v>
      </c>
      <c r="G397" s="70"/>
      <c r="H397" s="65">
        <v>45</v>
      </c>
      <c r="I397" s="46">
        <f t="shared" ref="I397:I403" si="56">H397/1000*E397</f>
        <v>2.835</v>
      </c>
      <c r="M397">
        <v>63</v>
      </c>
      <c r="N397" s="11" t="s">
        <v>160</v>
      </c>
      <c r="O397" s="84">
        <v>92</v>
      </c>
      <c r="P397" s="84">
        <v>86</v>
      </c>
      <c r="Q397" s="65"/>
      <c r="R397" s="65">
        <v>45</v>
      </c>
      <c r="S397" s="119">
        <f t="shared" ref="S397:S403" si="57">R397/1000*O397</f>
        <v>4.1399999999999997</v>
      </c>
    </row>
    <row r="398" spans="1:19" x14ac:dyDescent="0.25">
      <c r="C398" s="69"/>
      <c r="D398" s="11" t="s">
        <v>161</v>
      </c>
      <c r="E398" s="84">
        <v>5</v>
      </c>
      <c r="F398" s="84">
        <v>4</v>
      </c>
      <c r="H398" s="65">
        <v>700</v>
      </c>
      <c r="I398" s="119">
        <f t="shared" si="56"/>
        <v>3.5</v>
      </c>
      <c r="N398" s="11" t="s">
        <v>161</v>
      </c>
      <c r="O398" s="84">
        <v>5</v>
      </c>
      <c r="P398" s="84">
        <v>4</v>
      </c>
      <c r="Q398" s="65"/>
      <c r="R398" s="65">
        <v>700</v>
      </c>
      <c r="S398" s="119">
        <f t="shared" si="57"/>
        <v>3.5</v>
      </c>
    </row>
    <row r="399" spans="1:19" x14ac:dyDescent="0.25">
      <c r="C399" s="69"/>
      <c r="D399" s="11" t="s">
        <v>162</v>
      </c>
      <c r="E399" s="84">
        <v>0.5</v>
      </c>
      <c r="F399" s="84">
        <v>0.5</v>
      </c>
      <c r="H399" s="65">
        <v>80</v>
      </c>
      <c r="I399" s="119">
        <f t="shared" si="56"/>
        <v>0.04</v>
      </c>
      <c r="M399">
        <v>3</v>
      </c>
      <c r="N399" s="11" t="s">
        <v>162</v>
      </c>
      <c r="O399" s="84">
        <v>0.5</v>
      </c>
      <c r="P399" s="84">
        <v>0.5</v>
      </c>
      <c r="Q399" s="65"/>
      <c r="R399" s="65">
        <v>80</v>
      </c>
      <c r="S399" s="119">
        <f t="shared" si="57"/>
        <v>0.04</v>
      </c>
    </row>
    <row r="400" spans="1:19" x14ac:dyDescent="0.25">
      <c r="C400" s="69"/>
      <c r="D400" s="11" t="s">
        <v>163</v>
      </c>
      <c r="E400" s="84">
        <v>3.5</v>
      </c>
      <c r="F400" s="84">
        <v>3.5</v>
      </c>
      <c r="H400" s="65">
        <v>163</v>
      </c>
      <c r="I400" s="119">
        <f t="shared" si="56"/>
        <v>0.57050000000000001</v>
      </c>
      <c r="M400">
        <v>6</v>
      </c>
      <c r="N400" s="11" t="s">
        <v>163</v>
      </c>
      <c r="O400" s="84">
        <v>3.5</v>
      </c>
      <c r="P400" s="84">
        <v>3.5</v>
      </c>
      <c r="Q400" s="65"/>
      <c r="R400" s="65">
        <v>163</v>
      </c>
      <c r="S400" s="119">
        <f t="shared" si="57"/>
        <v>0.57050000000000001</v>
      </c>
    </row>
    <row r="401" spans="2:19" x14ac:dyDescent="0.25">
      <c r="C401" s="69"/>
      <c r="D401" s="11" t="s">
        <v>164</v>
      </c>
      <c r="E401" s="18">
        <v>4.5</v>
      </c>
      <c r="F401" s="84">
        <v>3.5</v>
      </c>
      <c r="H401" s="65">
        <v>700</v>
      </c>
      <c r="I401" s="119">
        <f t="shared" si="56"/>
        <v>3.15</v>
      </c>
      <c r="N401" s="11" t="s">
        <v>164</v>
      </c>
      <c r="O401" s="18">
        <v>4.5</v>
      </c>
      <c r="P401" s="84">
        <v>3.5</v>
      </c>
      <c r="Q401" s="65"/>
      <c r="R401" s="65">
        <v>700</v>
      </c>
      <c r="S401" s="119">
        <f t="shared" si="57"/>
        <v>3.15</v>
      </c>
    </row>
    <row r="402" spans="2:19" x14ac:dyDescent="0.25">
      <c r="C402" s="69"/>
      <c r="D402" s="11" t="s">
        <v>142</v>
      </c>
      <c r="E402" s="84">
        <v>1.5</v>
      </c>
      <c r="F402" s="84">
        <v>1.5</v>
      </c>
      <c r="H402" s="65">
        <v>20</v>
      </c>
      <c r="I402" s="119">
        <f t="shared" si="56"/>
        <v>0.03</v>
      </c>
      <c r="M402">
        <v>0.23</v>
      </c>
      <c r="N402" s="11" t="s">
        <v>142</v>
      </c>
      <c r="O402" s="84">
        <v>1.5</v>
      </c>
      <c r="P402" s="84">
        <v>1.5</v>
      </c>
      <c r="Q402" s="65"/>
      <c r="R402" s="65">
        <v>20</v>
      </c>
      <c r="S402" s="119">
        <f t="shared" si="57"/>
        <v>0.03</v>
      </c>
    </row>
    <row r="403" spans="2:19" x14ac:dyDescent="0.25">
      <c r="C403" s="69"/>
      <c r="D403" s="11" t="s">
        <v>165</v>
      </c>
      <c r="E403" s="94">
        <v>0.01</v>
      </c>
      <c r="F403" s="94">
        <v>0.01</v>
      </c>
      <c r="H403" s="65">
        <v>500</v>
      </c>
      <c r="I403" s="119">
        <f t="shared" si="56"/>
        <v>5.0000000000000001E-3</v>
      </c>
      <c r="M403">
        <v>7.0000000000000007E-2</v>
      </c>
      <c r="N403" s="11" t="s">
        <v>165</v>
      </c>
      <c r="O403" s="94">
        <v>0.01</v>
      </c>
      <c r="P403" s="94">
        <v>0.01</v>
      </c>
      <c r="Q403" s="65"/>
      <c r="R403" s="65">
        <v>500</v>
      </c>
      <c r="S403" s="119">
        <f t="shared" si="57"/>
        <v>5.0000000000000001E-3</v>
      </c>
    </row>
    <row r="404" spans="2:19" x14ac:dyDescent="0.25">
      <c r="C404" s="69"/>
      <c r="D404" s="137" t="s">
        <v>112</v>
      </c>
      <c r="E404" s="137" t="s">
        <v>35</v>
      </c>
      <c r="F404" s="138">
        <v>60</v>
      </c>
      <c r="I404" s="99">
        <f>SUM(I397:I403)</f>
        <v>10.1305</v>
      </c>
      <c r="N404" s="137" t="s">
        <v>112</v>
      </c>
      <c r="O404" s="137" t="s">
        <v>35</v>
      </c>
      <c r="P404" s="138">
        <v>100</v>
      </c>
      <c r="Q404" s="65"/>
      <c r="R404" s="65"/>
      <c r="S404" s="99">
        <f>SUM(S397:S403)</f>
        <v>11.435499999999999</v>
      </c>
    </row>
    <row r="405" spans="2:19" x14ac:dyDescent="0.25">
      <c r="D405" s="74"/>
      <c r="E405" s="74"/>
      <c r="F405" s="74"/>
    </row>
    <row r="406" spans="2:19" x14ac:dyDescent="0.25">
      <c r="B406" s="65" t="s">
        <v>307</v>
      </c>
      <c r="C406" s="69"/>
      <c r="D406" s="7" t="s">
        <v>130</v>
      </c>
      <c r="E406" s="114">
        <v>108.8</v>
      </c>
      <c r="F406" s="114">
        <v>80</v>
      </c>
      <c r="G406" s="70"/>
      <c r="H406" s="65">
        <v>30</v>
      </c>
      <c r="I406" s="46">
        <f t="shared" ref="I406:I413" si="58">H406/1000*E406</f>
        <v>3.2639999999999998</v>
      </c>
    </row>
    <row r="407" spans="2:19" x14ac:dyDescent="0.25">
      <c r="C407" s="69"/>
      <c r="D407" s="7" t="s">
        <v>166</v>
      </c>
      <c r="E407" s="114">
        <v>8</v>
      </c>
      <c r="F407" s="114">
        <v>8</v>
      </c>
      <c r="G407" s="70"/>
      <c r="H407" s="65">
        <v>59</v>
      </c>
      <c r="I407" s="46">
        <f t="shared" si="58"/>
        <v>0.47199999999999998</v>
      </c>
    </row>
    <row r="408" spans="2:19" x14ac:dyDescent="0.25">
      <c r="C408" s="69"/>
      <c r="D408" s="7" t="s">
        <v>132</v>
      </c>
      <c r="E408" s="114">
        <v>10</v>
      </c>
      <c r="F408" s="114">
        <v>8</v>
      </c>
      <c r="G408" s="70"/>
      <c r="H408" s="65">
        <v>27</v>
      </c>
      <c r="I408" s="46">
        <f t="shared" si="58"/>
        <v>0.27</v>
      </c>
    </row>
    <row r="409" spans="2:19" x14ac:dyDescent="0.25">
      <c r="C409" s="69"/>
      <c r="D409" s="7" t="s">
        <v>131</v>
      </c>
      <c r="E409" s="114">
        <v>10</v>
      </c>
      <c r="F409" s="114">
        <v>8</v>
      </c>
      <c r="G409" s="70"/>
      <c r="H409" s="65">
        <v>35</v>
      </c>
      <c r="I409" s="46">
        <f t="shared" si="58"/>
        <v>0.35000000000000003</v>
      </c>
    </row>
    <row r="410" spans="2:19" x14ac:dyDescent="0.25">
      <c r="C410" s="69"/>
      <c r="D410" s="7" t="s">
        <v>125</v>
      </c>
      <c r="E410" s="114">
        <v>2</v>
      </c>
      <c r="F410" s="114">
        <v>2</v>
      </c>
      <c r="G410" s="70"/>
      <c r="H410" s="65">
        <v>163</v>
      </c>
      <c r="I410" s="46">
        <f t="shared" si="58"/>
        <v>0.32600000000000001</v>
      </c>
    </row>
    <row r="411" spans="2:19" x14ac:dyDescent="0.25">
      <c r="C411" s="69"/>
      <c r="D411" s="7" t="s">
        <v>151</v>
      </c>
      <c r="E411" s="114">
        <v>0.04</v>
      </c>
      <c r="F411" s="114">
        <v>0.04</v>
      </c>
      <c r="G411" s="70"/>
      <c r="H411" s="65">
        <v>1000</v>
      </c>
      <c r="I411" s="46">
        <f t="shared" si="58"/>
        <v>0.04</v>
      </c>
    </row>
    <row r="412" spans="2:19" x14ac:dyDescent="0.25">
      <c r="C412" s="69"/>
      <c r="D412" s="7" t="s">
        <v>34</v>
      </c>
      <c r="E412" s="114">
        <v>0.3</v>
      </c>
      <c r="F412" s="114">
        <v>0.3</v>
      </c>
      <c r="G412" s="70"/>
      <c r="H412" s="65">
        <v>20</v>
      </c>
      <c r="I412" s="46">
        <f t="shared" si="58"/>
        <v>6.0000000000000001E-3</v>
      </c>
    </row>
    <row r="413" spans="2:19" x14ac:dyDescent="0.25">
      <c r="C413" s="69"/>
      <c r="D413" s="7" t="s">
        <v>152</v>
      </c>
      <c r="E413" s="114">
        <v>140</v>
      </c>
      <c r="F413" s="114">
        <v>140</v>
      </c>
      <c r="G413" s="70"/>
      <c r="I413" s="46">
        <f t="shared" si="58"/>
        <v>0</v>
      </c>
    </row>
    <row r="414" spans="2:19" x14ac:dyDescent="0.25">
      <c r="C414" s="69"/>
      <c r="D414" s="7" t="s">
        <v>153</v>
      </c>
      <c r="E414" s="114">
        <v>140</v>
      </c>
      <c r="F414" s="114">
        <v>140</v>
      </c>
      <c r="G414" s="70"/>
      <c r="I414" s="46"/>
    </row>
    <row r="415" spans="2:19" x14ac:dyDescent="0.25">
      <c r="C415" s="69"/>
      <c r="D415" s="56" t="s">
        <v>154</v>
      </c>
      <c r="E415" s="114" t="s">
        <v>35</v>
      </c>
      <c r="F415" s="114" t="s">
        <v>35</v>
      </c>
      <c r="G415" s="70"/>
      <c r="I415" s="51">
        <f>SUM(I406:I414)</f>
        <v>4.7279999999999998</v>
      </c>
    </row>
    <row r="416" spans="2:19" x14ac:dyDescent="0.25">
      <c r="C416" s="69"/>
      <c r="D416" s="140"/>
      <c r="E416" s="140"/>
      <c r="F416" s="140"/>
      <c r="G416" s="70"/>
      <c r="I416" s="46"/>
    </row>
    <row r="417" spans="2:9" x14ac:dyDescent="0.25">
      <c r="D417" s="74"/>
      <c r="E417" s="74"/>
      <c r="F417" s="74"/>
    </row>
    <row r="418" spans="2:9" x14ac:dyDescent="0.25">
      <c r="B418" s="65" t="s">
        <v>243</v>
      </c>
      <c r="C418" s="69">
        <v>150</v>
      </c>
      <c r="D418" s="7" t="s">
        <v>29</v>
      </c>
      <c r="E418" s="19">
        <v>54</v>
      </c>
      <c r="F418" s="19">
        <v>54</v>
      </c>
      <c r="G418" s="70"/>
      <c r="H418" s="65">
        <v>94</v>
      </c>
      <c r="I418" s="46">
        <f t="shared" ref="I418:I420" si="59">H418/1000*E418</f>
        <v>5.0759999999999996</v>
      </c>
    </row>
    <row r="419" spans="2:9" x14ac:dyDescent="0.25">
      <c r="C419" s="69"/>
      <c r="D419" s="7" t="s">
        <v>22</v>
      </c>
      <c r="E419" s="19">
        <v>6.8</v>
      </c>
      <c r="F419" s="19">
        <v>6.8</v>
      </c>
      <c r="G419" s="70"/>
      <c r="H419" s="65">
        <v>990</v>
      </c>
      <c r="I419" s="46">
        <f t="shared" si="59"/>
        <v>6.7320000000000002</v>
      </c>
    </row>
    <row r="420" spans="2:9" x14ac:dyDescent="0.25">
      <c r="C420" s="69"/>
      <c r="D420" s="7" t="s">
        <v>34</v>
      </c>
      <c r="E420" s="19">
        <v>0.5</v>
      </c>
      <c r="F420" s="19">
        <v>0.5</v>
      </c>
      <c r="G420" s="70"/>
      <c r="H420" s="65">
        <v>20</v>
      </c>
      <c r="I420" s="46">
        <f t="shared" si="59"/>
        <v>0.01</v>
      </c>
    </row>
    <row r="421" spans="2:9" x14ac:dyDescent="0.25">
      <c r="C421" s="69"/>
      <c r="D421" s="7" t="s">
        <v>32</v>
      </c>
      <c r="E421" s="19">
        <v>324</v>
      </c>
      <c r="F421" s="19">
        <v>324</v>
      </c>
      <c r="G421" s="70"/>
    </row>
    <row r="422" spans="2:9" x14ac:dyDescent="0.25">
      <c r="C422" s="69"/>
      <c r="D422" s="56" t="s">
        <v>177</v>
      </c>
      <c r="E422" s="19" t="s">
        <v>35</v>
      </c>
      <c r="F422" s="19" t="s">
        <v>35</v>
      </c>
      <c r="G422" s="70"/>
      <c r="I422" s="99">
        <f>SUM(I418:I421)</f>
        <v>11.818</v>
      </c>
    </row>
    <row r="423" spans="2:9" x14ac:dyDescent="0.25">
      <c r="D423" s="74"/>
      <c r="E423" s="74"/>
      <c r="F423" s="74"/>
    </row>
    <row r="424" spans="2:9" x14ac:dyDescent="0.25">
      <c r="B424" s="73" t="s">
        <v>245</v>
      </c>
      <c r="C424" s="69">
        <v>90</v>
      </c>
      <c r="D424" s="7" t="s">
        <v>244</v>
      </c>
      <c r="E424" s="19">
        <v>120.67</v>
      </c>
      <c r="F424" s="19">
        <v>55.5</v>
      </c>
      <c r="G424" s="70"/>
      <c r="H424" s="65">
        <v>149.13</v>
      </c>
      <c r="I424" s="46">
        <f t="shared" ref="I424:I430" si="60">H424/1000*E424</f>
        <v>17.995517099999997</v>
      </c>
    </row>
    <row r="425" spans="2:9" x14ac:dyDescent="0.25">
      <c r="C425" s="69"/>
      <c r="D425" s="7" t="s">
        <v>32</v>
      </c>
      <c r="E425" s="19">
        <v>16.5</v>
      </c>
      <c r="F425" s="19">
        <v>16.5</v>
      </c>
      <c r="G425" s="70"/>
      <c r="I425" s="46">
        <f t="shared" si="60"/>
        <v>0</v>
      </c>
    </row>
    <row r="426" spans="2:9" x14ac:dyDescent="0.25">
      <c r="C426" s="69"/>
      <c r="D426" s="7" t="s">
        <v>225</v>
      </c>
      <c r="E426" s="19">
        <v>25.35</v>
      </c>
      <c r="F426" s="19">
        <v>20.25</v>
      </c>
      <c r="G426" s="70"/>
      <c r="H426" s="65">
        <v>35</v>
      </c>
      <c r="I426" s="46">
        <f t="shared" si="60"/>
        <v>0.88725000000000009</v>
      </c>
    </row>
    <row r="427" spans="2:9" x14ac:dyDescent="0.25">
      <c r="C427" s="69"/>
      <c r="D427" s="7" t="s">
        <v>132</v>
      </c>
      <c r="E427" s="19">
        <v>16.05</v>
      </c>
      <c r="F427" s="19">
        <v>13.5</v>
      </c>
      <c r="G427" s="70"/>
      <c r="H427" s="65">
        <v>27</v>
      </c>
      <c r="I427" s="46">
        <f t="shared" si="60"/>
        <v>0.43335000000000001</v>
      </c>
    </row>
    <row r="428" spans="2:9" x14ac:dyDescent="0.25">
      <c r="C428" s="69"/>
      <c r="D428" s="7" t="s">
        <v>216</v>
      </c>
      <c r="E428" s="19">
        <v>4.8</v>
      </c>
      <c r="F428" s="19">
        <v>4.8</v>
      </c>
      <c r="G428" s="70"/>
      <c r="H428" s="65">
        <v>163</v>
      </c>
      <c r="I428" s="46">
        <f t="shared" si="60"/>
        <v>0.78239999999999998</v>
      </c>
    </row>
    <row r="429" spans="2:9" x14ac:dyDescent="0.25">
      <c r="C429" s="69"/>
      <c r="D429" s="7" t="s">
        <v>33</v>
      </c>
      <c r="E429" s="19">
        <v>1.5</v>
      </c>
      <c r="F429" s="19">
        <v>1.5</v>
      </c>
      <c r="G429" s="70"/>
      <c r="H429" s="65">
        <v>80</v>
      </c>
      <c r="I429" s="46">
        <f t="shared" si="60"/>
        <v>0.12</v>
      </c>
    </row>
    <row r="430" spans="2:9" x14ac:dyDescent="0.25">
      <c r="C430" s="69"/>
      <c r="D430" s="7" t="s">
        <v>34</v>
      </c>
      <c r="E430" s="19">
        <v>0.75</v>
      </c>
      <c r="F430" s="19">
        <v>0.75</v>
      </c>
      <c r="G430" s="70"/>
      <c r="H430" s="65">
        <v>20</v>
      </c>
      <c r="I430" s="46">
        <f t="shared" si="60"/>
        <v>1.4999999999999999E-2</v>
      </c>
    </row>
    <row r="431" spans="2:9" x14ac:dyDescent="0.25">
      <c r="C431" s="69"/>
      <c r="D431" s="56" t="s">
        <v>213</v>
      </c>
      <c r="E431" s="19" t="s">
        <v>35</v>
      </c>
      <c r="F431" s="19" t="s">
        <v>35</v>
      </c>
      <c r="G431" s="70"/>
      <c r="I431" s="99">
        <f>SUM(I424:I430)</f>
        <v>20.2335171</v>
      </c>
    </row>
    <row r="432" spans="2:9" x14ac:dyDescent="0.25">
      <c r="D432" s="72"/>
      <c r="E432" s="72"/>
      <c r="F432" s="72"/>
    </row>
    <row r="433" spans="2:9" x14ac:dyDescent="0.25">
      <c r="B433" s="73" t="s">
        <v>157</v>
      </c>
      <c r="C433" s="65">
        <v>200</v>
      </c>
      <c r="D433" s="7" t="s">
        <v>33</v>
      </c>
      <c r="E433" s="114">
        <v>7</v>
      </c>
      <c r="F433" s="114">
        <v>7</v>
      </c>
      <c r="G433" s="70"/>
      <c r="H433" s="65">
        <v>80</v>
      </c>
      <c r="I433" s="119">
        <f t="shared" ref="I433:I434" si="61">H433/1000*E433</f>
        <v>0.56000000000000005</v>
      </c>
    </row>
    <row r="434" spans="2:9" x14ac:dyDescent="0.25">
      <c r="D434" s="7" t="s">
        <v>158</v>
      </c>
      <c r="E434" s="114">
        <v>26.8</v>
      </c>
      <c r="F434" s="114">
        <v>25</v>
      </c>
      <c r="G434" s="70"/>
      <c r="H434" s="65">
        <v>138</v>
      </c>
      <c r="I434" s="119">
        <f t="shared" si="61"/>
        <v>3.6984000000000004</v>
      </c>
    </row>
    <row r="435" spans="2:9" x14ac:dyDescent="0.25">
      <c r="D435" s="7" t="s">
        <v>32</v>
      </c>
      <c r="E435" s="114">
        <v>190</v>
      </c>
      <c r="F435" s="114">
        <v>190</v>
      </c>
      <c r="G435" s="70"/>
    </row>
    <row r="436" spans="2:9" x14ac:dyDescent="0.25">
      <c r="D436" s="56" t="s">
        <v>154</v>
      </c>
      <c r="E436" s="114" t="s">
        <v>35</v>
      </c>
      <c r="F436" s="114" t="s">
        <v>35</v>
      </c>
      <c r="G436" s="70"/>
      <c r="I436" s="99">
        <f>SUM(I433:I435)</f>
        <v>4.2584</v>
      </c>
    </row>
    <row r="437" spans="2:9" x14ac:dyDescent="0.25">
      <c r="B437" s="5"/>
      <c r="C437" s="9"/>
      <c r="D437" s="47"/>
      <c r="E437" s="48"/>
      <c r="F437" s="49"/>
      <c r="G437" s="50"/>
      <c r="H437" s="49"/>
      <c r="I437" s="52"/>
    </row>
    <row r="438" spans="2:9" x14ac:dyDescent="0.25">
      <c r="D438" s="72"/>
      <c r="E438" s="72"/>
      <c r="F438" s="72"/>
    </row>
    <row r="439" spans="2:9" x14ac:dyDescent="0.25">
      <c r="B439" s="5" t="s">
        <v>90</v>
      </c>
      <c r="C439" s="8">
        <v>30</v>
      </c>
      <c r="D439" s="5" t="s">
        <v>90</v>
      </c>
      <c r="E439" s="8">
        <v>30</v>
      </c>
      <c r="F439" s="5"/>
      <c r="G439" s="5"/>
      <c r="H439" s="5">
        <v>55.1</v>
      </c>
      <c r="I439" s="51">
        <f t="shared" ref="I439" si="62">H439/1000*E439</f>
        <v>1.653</v>
      </c>
    </row>
    <row r="440" spans="2:9" x14ac:dyDescent="0.25">
      <c r="I440" s="51"/>
    </row>
    <row r="441" spans="2:9" x14ac:dyDescent="0.25">
      <c r="B441" s="65" t="s">
        <v>145</v>
      </c>
      <c r="C441" s="65">
        <v>40</v>
      </c>
      <c r="D441" s="65" t="s">
        <v>145</v>
      </c>
      <c r="E441" s="65">
        <v>40</v>
      </c>
      <c r="H441" s="65">
        <v>35.9</v>
      </c>
      <c r="I441" s="51">
        <f t="shared" ref="I441" si="63">H441/1000*E441</f>
        <v>1.4359999999999999</v>
      </c>
    </row>
  </sheetData>
  <mergeCells count="16">
    <mergeCell ref="A1:I1"/>
    <mergeCell ref="H2:H4"/>
    <mergeCell ref="S58:T58"/>
    <mergeCell ref="E227:F227"/>
    <mergeCell ref="I2:I4"/>
    <mergeCell ref="E3:F3"/>
    <mergeCell ref="E20:F20"/>
    <mergeCell ref="E26:F26"/>
    <mergeCell ref="E58:F58"/>
    <mergeCell ref="E348:F348"/>
    <mergeCell ref="E46:F46"/>
    <mergeCell ref="E203:F203"/>
    <mergeCell ref="B2:B4"/>
    <mergeCell ref="C2:C4"/>
    <mergeCell ref="D2:D4"/>
    <mergeCell ref="E2:F2"/>
  </mergeCells>
  <pageMargins left="0.7" right="0.7" top="0.75" bottom="0.75" header="0.3" footer="0.3"/>
  <pageSetup paperSize="9" scale="35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2"/>
  <sheetViews>
    <sheetView tabSelected="1" zoomScale="80" zoomScaleNormal="80" workbookViewId="0">
      <pane xSplit="3" ySplit="5" topLeftCell="D431" activePane="bottomRight" state="frozen"/>
      <selection pane="topRight" activeCell="D1" sqref="D1"/>
      <selection pane="bottomLeft" activeCell="A5" sqref="A5"/>
      <selection pane="bottomRight" sqref="A1:I433"/>
    </sheetView>
  </sheetViews>
  <sheetFormatPr defaultRowHeight="15" x14ac:dyDescent="0.25"/>
  <cols>
    <col min="1" max="1" width="29" style="65" customWidth="1"/>
    <col min="2" max="2" width="32" style="65" customWidth="1"/>
    <col min="3" max="3" width="9.140625" style="65"/>
    <col min="4" max="4" width="31" style="65" customWidth="1"/>
    <col min="5" max="8" width="9.140625" style="65"/>
    <col min="9" max="9" width="11" style="119" customWidth="1"/>
    <col min="15" max="15" width="22.140625" customWidth="1"/>
  </cols>
  <sheetData>
    <row r="1" spans="1:11" x14ac:dyDescent="0.25">
      <c r="A1" s="353" t="s">
        <v>403</v>
      </c>
      <c r="B1" s="354"/>
      <c r="C1" s="354"/>
      <c r="D1" s="354"/>
      <c r="E1" s="354"/>
      <c r="F1" s="354"/>
      <c r="G1" s="354"/>
      <c r="H1" s="354"/>
      <c r="I1" s="355"/>
    </row>
    <row r="2" spans="1:11" ht="15" customHeight="1" x14ac:dyDescent="0.25">
      <c r="A2" s="260">
        <f>(I5+I41+I81+I124+I161+I207+I247+I296+I337+I389)/10</f>
        <v>73.278641800000003</v>
      </c>
      <c r="B2" s="218" t="s">
        <v>36</v>
      </c>
      <c r="C2" s="220" t="s">
        <v>27</v>
      </c>
      <c r="D2" s="217" t="s">
        <v>17</v>
      </c>
      <c r="E2" s="217" t="s">
        <v>18</v>
      </c>
      <c r="F2" s="217"/>
      <c r="G2" s="5"/>
      <c r="H2" s="218" t="s">
        <v>25</v>
      </c>
      <c r="I2" s="221" t="s">
        <v>26</v>
      </c>
    </row>
    <row r="3" spans="1:11" ht="27" customHeight="1" x14ac:dyDescent="0.25">
      <c r="A3" s="68" t="s">
        <v>128</v>
      </c>
      <c r="B3" s="218"/>
      <c r="C3" s="220"/>
      <c r="D3" s="217"/>
      <c r="E3" s="217" t="s">
        <v>19</v>
      </c>
      <c r="F3" s="217"/>
      <c r="G3" s="5"/>
      <c r="H3" s="218"/>
      <c r="I3" s="221"/>
      <c r="K3" t="s">
        <v>330</v>
      </c>
    </row>
    <row r="4" spans="1:11" x14ac:dyDescent="0.25">
      <c r="A4" s="5" t="s">
        <v>113</v>
      </c>
      <c r="B4" s="218"/>
      <c r="C4" s="220"/>
      <c r="D4" s="217"/>
      <c r="E4" s="19" t="s">
        <v>20</v>
      </c>
      <c r="F4" s="19" t="s">
        <v>21</v>
      </c>
      <c r="G4" s="5"/>
      <c r="H4" s="218"/>
      <c r="I4" s="221"/>
    </row>
    <row r="5" spans="1:11" x14ac:dyDescent="0.25">
      <c r="A5" s="15" t="s">
        <v>13</v>
      </c>
      <c r="B5" s="13"/>
      <c r="C5" s="64"/>
      <c r="D5" s="16"/>
      <c r="E5" s="16"/>
      <c r="F5" s="16"/>
      <c r="G5" s="13"/>
      <c r="H5" s="17"/>
      <c r="I5" s="53">
        <f>I9+I20+I26+I34+I36+I38+I39</f>
        <v>70.239060000000023</v>
      </c>
    </row>
    <row r="6" spans="1:11" ht="27.75" customHeight="1" x14ac:dyDescent="0.25">
      <c r="B6" s="66" t="s">
        <v>127</v>
      </c>
      <c r="C6" s="65">
        <v>100</v>
      </c>
      <c r="D6" s="58" t="s">
        <v>123</v>
      </c>
      <c r="E6" s="59">
        <v>94</v>
      </c>
      <c r="F6" s="59">
        <v>94</v>
      </c>
    </row>
    <row r="7" spans="1:11" x14ac:dyDescent="0.25">
      <c r="D7" s="60" t="s">
        <v>124</v>
      </c>
      <c r="E7" s="59">
        <v>117.5</v>
      </c>
      <c r="F7" s="59">
        <v>94</v>
      </c>
      <c r="H7" s="65">
        <v>35</v>
      </c>
      <c r="I7" s="119">
        <f>H7/1000*E7</f>
        <v>4.1125000000000007</v>
      </c>
    </row>
    <row r="8" spans="1:11" x14ac:dyDescent="0.25">
      <c r="D8" s="58" t="s">
        <v>125</v>
      </c>
      <c r="E8" s="59">
        <v>7</v>
      </c>
      <c r="F8" s="59">
        <v>7</v>
      </c>
      <c r="H8" s="65">
        <v>163</v>
      </c>
      <c r="I8" s="119">
        <f>H8/1000*E8</f>
        <v>1.141</v>
      </c>
    </row>
    <row r="9" spans="1:11" x14ac:dyDescent="0.25">
      <c r="D9" s="61" t="s">
        <v>126</v>
      </c>
      <c r="E9" s="62"/>
      <c r="F9" s="62">
        <v>100</v>
      </c>
      <c r="I9" s="99">
        <f>I7+I8</f>
        <v>5.2535000000000007</v>
      </c>
    </row>
    <row r="10" spans="1:11" x14ac:dyDescent="0.25">
      <c r="D10" s="71"/>
      <c r="E10" s="71"/>
      <c r="F10" s="71"/>
    </row>
    <row r="11" spans="1:11" x14ac:dyDescent="0.25">
      <c r="B11" s="73" t="s">
        <v>68</v>
      </c>
      <c r="C11" s="69">
        <v>250</v>
      </c>
      <c r="D11" s="7" t="s">
        <v>129</v>
      </c>
      <c r="E11" s="19">
        <v>62.5</v>
      </c>
      <c r="F11" s="19">
        <v>50</v>
      </c>
      <c r="G11" s="70"/>
      <c r="H11" s="65">
        <v>45</v>
      </c>
      <c r="I11" s="119">
        <f t="shared" ref="I11:I19" si="0">H11/1000*E11</f>
        <v>2.8125</v>
      </c>
    </row>
    <row r="12" spans="1:11" x14ac:dyDescent="0.25">
      <c r="C12" s="69"/>
      <c r="D12" s="7" t="s">
        <v>130</v>
      </c>
      <c r="E12" s="19">
        <v>40</v>
      </c>
      <c r="F12" s="19">
        <v>30</v>
      </c>
      <c r="G12" s="70"/>
      <c r="H12" s="65">
        <v>30</v>
      </c>
      <c r="I12" s="119">
        <f t="shared" si="0"/>
        <v>1.2</v>
      </c>
    </row>
    <row r="13" spans="1:11" x14ac:dyDescent="0.25">
      <c r="C13" s="69"/>
      <c r="D13" s="7" t="s">
        <v>131</v>
      </c>
      <c r="E13" s="19">
        <v>15.75</v>
      </c>
      <c r="F13" s="19">
        <v>12.5</v>
      </c>
      <c r="G13" s="70"/>
      <c r="H13" s="65">
        <v>35</v>
      </c>
      <c r="I13" s="119">
        <f t="shared" si="0"/>
        <v>0.55125000000000002</v>
      </c>
    </row>
    <row r="14" spans="1:11" x14ac:dyDescent="0.25">
      <c r="C14" s="69"/>
      <c r="D14" s="7" t="s">
        <v>132</v>
      </c>
      <c r="E14" s="19">
        <v>12</v>
      </c>
      <c r="F14" s="19">
        <v>10</v>
      </c>
      <c r="G14" s="70"/>
      <c r="H14" s="65">
        <v>27</v>
      </c>
      <c r="I14" s="119">
        <f t="shared" si="0"/>
        <v>0.32400000000000001</v>
      </c>
    </row>
    <row r="15" spans="1:11" x14ac:dyDescent="0.25">
      <c r="C15" s="69"/>
      <c r="D15" s="7" t="s">
        <v>133</v>
      </c>
      <c r="E15" s="19">
        <v>2.5</v>
      </c>
      <c r="F15" s="19">
        <v>2.5</v>
      </c>
      <c r="G15" s="70"/>
      <c r="H15" s="65">
        <v>210</v>
      </c>
      <c r="I15" s="119">
        <f t="shared" si="0"/>
        <v>0.52500000000000002</v>
      </c>
    </row>
    <row r="16" spans="1:11" x14ac:dyDescent="0.25">
      <c r="C16" s="69"/>
      <c r="D16" s="7" t="s">
        <v>125</v>
      </c>
      <c r="E16" s="19">
        <v>5</v>
      </c>
      <c r="F16" s="19">
        <v>5</v>
      </c>
      <c r="G16" s="70"/>
      <c r="H16" s="65">
        <v>163</v>
      </c>
      <c r="I16" s="119">
        <f t="shared" si="0"/>
        <v>0.81500000000000006</v>
      </c>
    </row>
    <row r="17" spans="2:9" x14ac:dyDescent="0.25">
      <c r="C17" s="69"/>
      <c r="D17" s="7" t="s">
        <v>134</v>
      </c>
      <c r="E17" s="19">
        <v>200</v>
      </c>
      <c r="F17" s="19">
        <v>200</v>
      </c>
      <c r="G17" s="70"/>
      <c r="I17" s="119">
        <f t="shared" si="0"/>
        <v>0</v>
      </c>
    </row>
    <row r="18" spans="2:9" x14ac:dyDescent="0.25">
      <c r="C18" s="69"/>
      <c r="D18" s="7" t="s">
        <v>135</v>
      </c>
      <c r="E18" s="19">
        <v>200</v>
      </c>
      <c r="F18" s="19">
        <v>200</v>
      </c>
      <c r="G18" s="70"/>
      <c r="I18" s="119">
        <f t="shared" si="0"/>
        <v>0</v>
      </c>
    </row>
    <row r="19" spans="2:9" x14ac:dyDescent="0.25">
      <c r="C19" s="69"/>
      <c r="D19" s="7" t="s">
        <v>136</v>
      </c>
      <c r="E19" s="19">
        <v>200</v>
      </c>
      <c r="F19" s="19">
        <v>200</v>
      </c>
      <c r="G19" s="70"/>
      <c r="I19" s="119">
        <f t="shared" si="0"/>
        <v>0</v>
      </c>
    </row>
    <row r="20" spans="2:9" x14ac:dyDescent="0.25">
      <c r="C20" s="69"/>
      <c r="D20" s="56" t="s">
        <v>23</v>
      </c>
      <c r="E20" s="217">
        <v>250</v>
      </c>
      <c r="F20" s="217"/>
      <c r="G20" s="70"/>
      <c r="I20" s="99">
        <f>SUM(I11:I19)</f>
        <v>6.2277500000000012</v>
      </c>
    </row>
    <row r="21" spans="2:9" x14ac:dyDescent="0.25">
      <c r="D21" s="74"/>
      <c r="E21" s="74"/>
      <c r="F21" s="74"/>
    </row>
    <row r="22" spans="2:9" x14ac:dyDescent="0.25">
      <c r="B22" s="73" t="s">
        <v>62</v>
      </c>
      <c r="C22" s="69">
        <v>180</v>
      </c>
      <c r="D22" s="7" t="s">
        <v>138</v>
      </c>
      <c r="E22" s="19">
        <v>82.8</v>
      </c>
      <c r="F22" s="19">
        <v>82.8</v>
      </c>
      <c r="G22" s="70"/>
      <c r="H22" s="65">
        <v>80</v>
      </c>
      <c r="I22" s="119">
        <f t="shared" ref="I22:I25" si="1">H22/1000*E22</f>
        <v>6.6239999999999997</v>
      </c>
    </row>
    <row r="23" spans="2:9" x14ac:dyDescent="0.25">
      <c r="C23" s="69"/>
      <c r="D23" s="7" t="s">
        <v>32</v>
      </c>
      <c r="E23" s="19">
        <v>122.4</v>
      </c>
      <c r="F23" s="19">
        <v>122.4</v>
      </c>
      <c r="G23" s="70"/>
      <c r="I23" s="119">
        <f t="shared" si="1"/>
        <v>0</v>
      </c>
    </row>
    <row r="24" spans="2:9" x14ac:dyDescent="0.25">
      <c r="C24" s="69"/>
      <c r="D24" s="7" t="s">
        <v>139</v>
      </c>
      <c r="E24" s="19" t="s">
        <v>35</v>
      </c>
      <c r="F24" s="19">
        <v>172.8</v>
      </c>
      <c r="G24" s="70"/>
    </row>
    <row r="25" spans="2:9" x14ac:dyDescent="0.25">
      <c r="C25" s="69"/>
      <c r="D25" s="7" t="s">
        <v>22</v>
      </c>
      <c r="E25" s="19">
        <v>8.1</v>
      </c>
      <c r="F25" s="19">
        <v>8.1</v>
      </c>
      <c r="G25" s="70"/>
      <c r="H25" s="65">
        <v>990</v>
      </c>
      <c r="I25" s="119">
        <f t="shared" si="1"/>
        <v>8.0190000000000001</v>
      </c>
    </row>
    <row r="26" spans="2:9" x14ac:dyDescent="0.25">
      <c r="C26" s="69"/>
      <c r="D26" s="56" t="s">
        <v>23</v>
      </c>
      <c r="E26" s="217">
        <v>180</v>
      </c>
      <c r="F26" s="217"/>
      <c r="G26" s="70"/>
      <c r="I26" s="99">
        <f>I22+I23+I25</f>
        <v>14.643000000000001</v>
      </c>
    </row>
    <row r="27" spans="2:9" x14ac:dyDescent="0.25">
      <c r="D27" s="72"/>
      <c r="E27" s="72"/>
      <c r="F27" s="72"/>
    </row>
    <row r="28" spans="2:9" x14ac:dyDescent="0.25">
      <c r="B28" s="65" t="s">
        <v>107</v>
      </c>
      <c r="C28" s="65">
        <v>100</v>
      </c>
      <c r="D28" s="11" t="s">
        <v>140</v>
      </c>
      <c r="E28" s="84">
        <v>96.7</v>
      </c>
      <c r="F28" s="84">
        <v>85.6</v>
      </c>
      <c r="H28" s="65">
        <v>270</v>
      </c>
      <c r="I28" s="119">
        <f t="shared" ref="I28:I33" si="2">H28/1000*E28</f>
        <v>26.109000000000002</v>
      </c>
    </row>
    <row r="29" spans="2:9" x14ac:dyDescent="0.25">
      <c r="D29" s="11" t="s">
        <v>4</v>
      </c>
      <c r="E29" s="84">
        <v>16.100000000000001</v>
      </c>
      <c r="F29" s="84">
        <v>16.100000000000001</v>
      </c>
      <c r="H29" s="65">
        <v>55.1</v>
      </c>
      <c r="I29" s="119">
        <f t="shared" si="2"/>
        <v>0.88711000000000018</v>
      </c>
    </row>
    <row r="30" spans="2:9" x14ac:dyDescent="0.25">
      <c r="D30" s="11" t="s">
        <v>31</v>
      </c>
      <c r="E30" s="84">
        <v>24.4</v>
      </c>
      <c r="F30" s="84">
        <v>24.4</v>
      </c>
      <c r="H30" s="65">
        <v>69</v>
      </c>
      <c r="I30" s="119">
        <f t="shared" si="2"/>
        <v>1.6836</v>
      </c>
    </row>
    <row r="31" spans="2:9" x14ac:dyDescent="0.25">
      <c r="D31" s="11" t="s">
        <v>141</v>
      </c>
      <c r="E31" s="84">
        <v>11.1</v>
      </c>
      <c r="F31" s="84">
        <v>11.1</v>
      </c>
      <c r="H31" s="65">
        <v>400</v>
      </c>
      <c r="I31" s="119">
        <f t="shared" si="2"/>
        <v>4.4400000000000004</v>
      </c>
    </row>
    <row r="32" spans="2:9" x14ac:dyDescent="0.25">
      <c r="D32" s="11" t="s">
        <v>125</v>
      </c>
      <c r="E32" s="86">
        <v>6.7</v>
      </c>
      <c r="F32" s="84">
        <v>6.7</v>
      </c>
      <c r="H32" s="65">
        <v>163</v>
      </c>
      <c r="I32" s="119">
        <f t="shared" si="2"/>
        <v>1.0921000000000001</v>
      </c>
    </row>
    <row r="33" spans="1:13" x14ac:dyDescent="0.25">
      <c r="D33" s="11" t="s">
        <v>142</v>
      </c>
      <c r="E33" s="84">
        <v>0.7</v>
      </c>
      <c r="F33" s="84">
        <v>0.7</v>
      </c>
      <c r="H33" s="65">
        <v>20</v>
      </c>
      <c r="I33" s="119">
        <f t="shared" si="2"/>
        <v>1.3999999999999999E-2</v>
      </c>
    </row>
    <row r="34" spans="1:13" x14ac:dyDescent="0.25">
      <c r="D34" s="87" t="s">
        <v>112</v>
      </c>
      <c r="E34" s="87" t="s">
        <v>35</v>
      </c>
      <c r="F34" s="88">
        <v>100</v>
      </c>
      <c r="I34" s="99">
        <f>I28+I29+I30+I31+I32+I33</f>
        <v>34.225810000000003</v>
      </c>
    </row>
    <row r="36" spans="1:13" x14ac:dyDescent="0.25">
      <c r="B36" s="65" t="s">
        <v>143</v>
      </c>
      <c r="C36" s="65">
        <v>200</v>
      </c>
      <c r="E36" s="65">
        <v>200</v>
      </c>
      <c r="H36" s="65">
        <v>34</v>
      </c>
      <c r="I36" s="99">
        <f t="shared" ref="I36" si="3">H36/1000*E36</f>
        <v>6.8000000000000007</v>
      </c>
    </row>
    <row r="37" spans="1:13" x14ac:dyDescent="0.25">
      <c r="I37" s="99"/>
    </row>
    <row r="38" spans="1:13" x14ac:dyDescent="0.25">
      <c r="B38" s="65" t="s">
        <v>90</v>
      </c>
      <c r="C38" s="65">
        <v>30</v>
      </c>
      <c r="E38" s="65">
        <v>30</v>
      </c>
      <c r="H38" s="65">
        <v>55.1</v>
      </c>
      <c r="I38" s="99">
        <f t="shared" ref="I38:I39" si="4">H38/1000*E38</f>
        <v>1.653</v>
      </c>
    </row>
    <row r="39" spans="1:13" x14ac:dyDescent="0.25">
      <c r="B39" s="65" t="s">
        <v>145</v>
      </c>
      <c r="C39" s="65">
        <v>40</v>
      </c>
      <c r="E39" s="65">
        <v>40</v>
      </c>
      <c r="H39" s="65">
        <v>35.9</v>
      </c>
      <c r="I39" s="99">
        <f t="shared" si="4"/>
        <v>1.4359999999999999</v>
      </c>
    </row>
    <row r="41" spans="1:13" s="14" customFormat="1" x14ac:dyDescent="0.25">
      <c r="A41" s="15" t="s">
        <v>16</v>
      </c>
      <c r="B41" s="13"/>
      <c r="C41" s="64"/>
      <c r="D41" s="16"/>
      <c r="E41" s="16"/>
      <c r="F41" s="16"/>
      <c r="G41" s="13"/>
      <c r="H41" s="17"/>
      <c r="I41" s="53">
        <f>I46+I56+I69+I75+I77+I79</f>
        <v>75.630709000000024</v>
      </c>
      <c r="J41" s="63"/>
      <c r="K41" s="13"/>
      <c r="L41" s="13"/>
      <c r="M41" s="13"/>
    </row>
    <row r="42" spans="1:13" x14ac:dyDescent="0.25">
      <c r="B42" s="89" t="s">
        <v>77</v>
      </c>
      <c r="C42" s="69">
        <v>100</v>
      </c>
      <c r="D42" s="7" t="s">
        <v>146</v>
      </c>
      <c r="E42" s="183">
        <v>101.3</v>
      </c>
      <c r="F42" s="183">
        <v>81</v>
      </c>
      <c r="G42" s="70"/>
      <c r="H42" s="65">
        <v>74.33</v>
      </c>
      <c r="I42" s="119">
        <f t="shared" ref="I42:I45" si="5">H42/1000*E42</f>
        <v>7.529628999999999</v>
      </c>
    </row>
    <row r="43" spans="1:13" x14ac:dyDescent="0.25">
      <c r="C43" s="69"/>
      <c r="D43" s="7" t="s">
        <v>147</v>
      </c>
      <c r="E43" s="183">
        <v>18.8</v>
      </c>
      <c r="F43" s="183">
        <v>15</v>
      </c>
      <c r="G43" s="70"/>
      <c r="I43" s="119">
        <f t="shared" si="5"/>
        <v>0</v>
      </c>
    </row>
    <row r="44" spans="1:13" x14ac:dyDescent="0.25">
      <c r="C44" s="69"/>
      <c r="D44" s="7" t="s">
        <v>148</v>
      </c>
      <c r="E44" s="183">
        <v>17.899999999999999</v>
      </c>
      <c r="F44" s="183">
        <v>15</v>
      </c>
      <c r="G44" s="70"/>
      <c r="H44" s="65">
        <v>27</v>
      </c>
      <c r="I44" s="119">
        <f t="shared" si="5"/>
        <v>0.48329999999999995</v>
      </c>
    </row>
    <row r="45" spans="1:13" x14ac:dyDescent="0.25">
      <c r="C45" s="69"/>
      <c r="D45" s="7" t="s">
        <v>125</v>
      </c>
      <c r="E45" s="183">
        <v>5</v>
      </c>
      <c r="F45" s="183">
        <v>5</v>
      </c>
      <c r="G45" s="70"/>
      <c r="H45" s="65">
        <v>163</v>
      </c>
      <c r="I45" s="119">
        <f t="shared" si="5"/>
        <v>0.81500000000000006</v>
      </c>
    </row>
    <row r="46" spans="1:13" x14ac:dyDescent="0.25">
      <c r="C46" s="69"/>
      <c r="D46" s="56" t="s">
        <v>23</v>
      </c>
      <c r="E46" s="217">
        <v>100</v>
      </c>
      <c r="F46" s="217"/>
      <c r="G46" s="70"/>
      <c r="I46" s="99">
        <f>I42+I43+I44+I45</f>
        <v>8.8279289999999992</v>
      </c>
    </row>
    <row r="47" spans="1:13" x14ac:dyDescent="0.25">
      <c r="C47" s="69"/>
      <c r="D47" s="56"/>
      <c r="E47" s="183"/>
      <c r="F47" s="183"/>
      <c r="G47" s="70"/>
      <c r="I47" s="99"/>
    </row>
    <row r="48" spans="1:13" ht="16.5" customHeight="1" x14ac:dyDescent="0.25">
      <c r="B48" s="65" t="s">
        <v>174</v>
      </c>
      <c r="C48" s="65">
        <v>250</v>
      </c>
      <c r="D48" s="96" t="s">
        <v>172</v>
      </c>
      <c r="E48" s="98">
        <v>20</v>
      </c>
      <c r="F48" s="98">
        <v>18</v>
      </c>
      <c r="H48" s="65">
        <v>270</v>
      </c>
      <c r="I48" s="46">
        <f t="shared" ref="I48:I55" si="6">H48/1000*E48</f>
        <v>5.4</v>
      </c>
    </row>
    <row r="49" spans="2:9" ht="16.5" customHeight="1" x14ac:dyDescent="0.25">
      <c r="D49" s="97" t="s">
        <v>131</v>
      </c>
      <c r="E49" s="84">
        <v>9</v>
      </c>
      <c r="F49" s="84">
        <v>7</v>
      </c>
      <c r="H49" s="65">
        <v>35</v>
      </c>
      <c r="I49" s="46">
        <f t="shared" si="6"/>
        <v>0.31500000000000006</v>
      </c>
    </row>
    <row r="50" spans="2:9" ht="16.5" customHeight="1" x14ac:dyDescent="0.25">
      <c r="D50" s="97" t="s">
        <v>132</v>
      </c>
      <c r="E50" s="84">
        <v>9</v>
      </c>
      <c r="F50" s="84">
        <v>8</v>
      </c>
      <c r="H50" s="65">
        <v>27</v>
      </c>
      <c r="I50" s="46">
        <f t="shared" si="6"/>
        <v>0.24299999999999999</v>
      </c>
    </row>
    <row r="51" spans="2:9" ht="16.5" customHeight="1" x14ac:dyDescent="0.25">
      <c r="D51" s="97" t="s">
        <v>166</v>
      </c>
      <c r="E51" s="84">
        <v>24</v>
      </c>
      <c r="F51" s="84">
        <v>24</v>
      </c>
      <c r="H51" s="65">
        <v>59</v>
      </c>
      <c r="I51" s="46">
        <f t="shared" si="6"/>
        <v>1.4159999999999999</v>
      </c>
    </row>
    <row r="52" spans="2:9" ht="16.5" customHeight="1" x14ac:dyDescent="0.25">
      <c r="D52" s="97" t="s">
        <v>125</v>
      </c>
      <c r="E52" s="84">
        <v>1</v>
      </c>
      <c r="F52" s="84">
        <v>1</v>
      </c>
      <c r="H52" s="65">
        <v>163</v>
      </c>
      <c r="I52" s="46">
        <f t="shared" si="6"/>
        <v>0.16300000000000001</v>
      </c>
    </row>
    <row r="53" spans="2:9" ht="16.5" customHeight="1" x14ac:dyDescent="0.25">
      <c r="D53" s="97" t="s">
        <v>22</v>
      </c>
      <c r="E53" s="84">
        <v>2</v>
      </c>
      <c r="F53" s="84">
        <v>2</v>
      </c>
      <c r="H53" s="65">
        <v>990</v>
      </c>
      <c r="I53" s="46">
        <f t="shared" si="6"/>
        <v>1.98</v>
      </c>
    </row>
    <row r="54" spans="2:9" ht="16.5" customHeight="1" x14ac:dyDescent="0.25">
      <c r="D54" s="97" t="s">
        <v>147</v>
      </c>
      <c r="E54" s="84">
        <v>4</v>
      </c>
      <c r="F54" s="84">
        <v>3</v>
      </c>
      <c r="H54" s="65">
        <v>715</v>
      </c>
      <c r="I54" s="46">
        <f t="shared" si="6"/>
        <v>2.86</v>
      </c>
    </row>
    <row r="55" spans="2:9" ht="16.5" customHeight="1" x14ac:dyDescent="0.25">
      <c r="D55" s="97" t="s">
        <v>142</v>
      </c>
      <c r="E55" s="84">
        <v>1</v>
      </c>
      <c r="F55" s="84">
        <v>1</v>
      </c>
      <c r="H55" s="65">
        <v>20</v>
      </c>
      <c r="I55" s="46">
        <f t="shared" si="6"/>
        <v>0.02</v>
      </c>
    </row>
    <row r="56" spans="2:9" ht="16.5" customHeight="1" x14ac:dyDescent="0.25">
      <c r="D56" s="76" t="s">
        <v>112</v>
      </c>
      <c r="E56" s="12" t="s">
        <v>35</v>
      </c>
      <c r="F56" s="12" t="s">
        <v>175</v>
      </c>
      <c r="I56" s="99">
        <f>SUM(I48:I55)</f>
        <v>12.397</v>
      </c>
    </row>
    <row r="57" spans="2:9" ht="16.5" customHeight="1" x14ac:dyDescent="0.25">
      <c r="C57" s="69"/>
      <c r="D57" s="7"/>
      <c r="E57" s="19"/>
      <c r="F57" s="19"/>
      <c r="G57" s="70"/>
    </row>
    <row r="58" spans="2:9" x14ac:dyDescent="0.25">
      <c r="D58" s="74"/>
      <c r="E58" s="74"/>
      <c r="F58" s="74"/>
    </row>
    <row r="59" spans="2:9" ht="25.5" x14ac:dyDescent="0.25">
      <c r="B59" s="73" t="s">
        <v>78</v>
      </c>
      <c r="C59" s="69">
        <v>200</v>
      </c>
      <c r="D59" s="7" t="s">
        <v>316</v>
      </c>
      <c r="E59" s="123">
        <v>122.28</v>
      </c>
      <c r="F59" s="123">
        <v>90.28</v>
      </c>
      <c r="G59" s="70"/>
      <c r="I59" s="119">
        <f t="shared" ref="I59:I66" si="7">H59/1000*E59</f>
        <v>0</v>
      </c>
    </row>
    <row r="60" spans="2:9" ht="25.5" x14ac:dyDescent="0.25">
      <c r="C60" s="69"/>
      <c r="D60" s="7" t="s">
        <v>318</v>
      </c>
      <c r="E60" s="123">
        <v>122.28</v>
      </c>
      <c r="F60" s="123">
        <v>90.28</v>
      </c>
      <c r="G60" s="70"/>
      <c r="H60" s="92"/>
      <c r="I60" s="119">
        <f t="shared" si="7"/>
        <v>0</v>
      </c>
    </row>
    <row r="61" spans="2:9" x14ac:dyDescent="0.25">
      <c r="C61" s="69"/>
      <c r="D61" s="7" t="s">
        <v>319</v>
      </c>
      <c r="E61" s="123">
        <v>99.42</v>
      </c>
      <c r="F61" s="123">
        <v>84.58</v>
      </c>
      <c r="G61" s="70"/>
      <c r="H61" s="65">
        <v>398</v>
      </c>
      <c r="I61" s="119">
        <f t="shared" si="7"/>
        <v>39.569160000000004</v>
      </c>
    </row>
    <row r="62" spans="2:9" x14ac:dyDescent="0.25">
      <c r="C62" s="69"/>
      <c r="D62" s="7" t="s">
        <v>320</v>
      </c>
      <c r="E62" s="123">
        <v>99.42</v>
      </c>
      <c r="F62" s="123">
        <v>84.58</v>
      </c>
      <c r="G62" s="70"/>
      <c r="I62" s="119">
        <f t="shared" si="7"/>
        <v>0</v>
      </c>
    </row>
    <row r="63" spans="2:9" x14ac:dyDescent="0.25">
      <c r="C63" s="69"/>
      <c r="D63" s="7" t="s">
        <v>130</v>
      </c>
      <c r="E63" s="123">
        <v>152</v>
      </c>
      <c r="F63" s="123">
        <v>114.28</v>
      </c>
      <c r="G63" s="70"/>
      <c r="H63" s="65">
        <v>30</v>
      </c>
      <c r="I63" s="119">
        <f t="shared" si="7"/>
        <v>4.5599999999999996</v>
      </c>
    </row>
    <row r="64" spans="2:9" x14ac:dyDescent="0.25">
      <c r="C64" s="69"/>
      <c r="D64" s="7" t="s">
        <v>132</v>
      </c>
      <c r="E64" s="123">
        <v>13.72</v>
      </c>
      <c r="F64" s="95">
        <v>15646</v>
      </c>
      <c r="G64" s="70"/>
      <c r="H64" s="65">
        <v>27</v>
      </c>
      <c r="I64" s="119">
        <f t="shared" si="7"/>
        <v>0.37043999999999999</v>
      </c>
    </row>
    <row r="65" spans="2:9" x14ac:dyDescent="0.25">
      <c r="C65" s="69"/>
      <c r="D65" s="7" t="s">
        <v>133</v>
      </c>
      <c r="E65" s="123">
        <v>6.86</v>
      </c>
      <c r="F65" s="123">
        <v>6.86</v>
      </c>
      <c r="G65" s="70"/>
      <c r="H65" s="65">
        <v>210</v>
      </c>
      <c r="I65" s="119">
        <f t="shared" si="7"/>
        <v>1.4406000000000001</v>
      </c>
    </row>
    <row r="66" spans="2:9" x14ac:dyDescent="0.25">
      <c r="C66" s="69"/>
      <c r="D66" s="7" t="s">
        <v>125</v>
      </c>
      <c r="E66" s="123">
        <v>6.86</v>
      </c>
      <c r="F66" s="123">
        <v>6.86</v>
      </c>
      <c r="G66" s="70"/>
      <c r="H66" s="65">
        <v>163</v>
      </c>
      <c r="I66" s="119">
        <f t="shared" si="7"/>
        <v>1.1181800000000002</v>
      </c>
    </row>
    <row r="67" spans="2:9" x14ac:dyDescent="0.25">
      <c r="C67" s="69"/>
      <c r="D67" s="7" t="s">
        <v>321</v>
      </c>
      <c r="E67" s="123" t="s">
        <v>35</v>
      </c>
      <c r="F67" s="123">
        <v>57.14</v>
      </c>
      <c r="G67" s="70"/>
    </row>
    <row r="68" spans="2:9" x14ac:dyDescent="0.25">
      <c r="C68" s="69"/>
      <c r="D68" s="7" t="s">
        <v>322</v>
      </c>
      <c r="E68" s="123" t="s">
        <v>35</v>
      </c>
      <c r="F68" s="123">
        <v>142.86000000000001</v>
      </c>
      <c r="G68" s="70"/>
    </row>
    <row r="69" spans="2:9" x14ac:dyDescent="0.25">
      <c r="C69" s="69"/>
      <c r="D69" s="56" t="s">
        <v>154</v>
      </c>
      <c r="E69" s="123" t="s">
        <v>35</v>
      </c>
      <c r="F69" s="123" t="s">
        <v>35</v>
      </c>
      <c r="G69" s="70"/>
      <c r="I69" s="99">
        <f>SUM(I59:I68)</f>
        <v>47.058380000000014</v>
      </c>
    </row>
    <row r="70" spans="2:9" x14ac:dyDescent="0.25">
      <c r="C70" s="69"/>
      <c r="D70" s="142"/>
      <c r="E70" s="125"/>
      <c r="F70" s="125"/>
      <c r="G70" s="70"/>
      <c r="I70" s="99"/>
    </row>
    <row r="71" spans="2:9" x14ac:dyDescent="0.25">
      <c r="D71" s="74"/>
      <c r="E71" s="74"/>
      <c r="F71" s="74"/>
    </row>
    <row r="72" spans="2:9" x14ac:dyDescent="0.25">
      <c r="B72" s="73" t="s">
        <v>157</v>
      </c>
      <c r="C72" s="69">
        <v>200</v>
      </c>
      <c r="D72" s="7" t="s">
        <v>33</v>
      </c>
      <c r="E72" s="19">
        <v>7</v>
      </c>
      <c r="F72" s="19">
        <v>7</v>
      </c>
      <c r="G72" s="70"/>
      <c r="H72" s="65">
        <v>80</v>
      </c>
      <c r="I72" s="119">
        <f t="shared" ref="I72:I73" si="8">H72/1000*E72</f>
        <v>0.56000000000000005</v>
      </c>
    </row>
    <row r="73" spans="2:9" x14ac:dyDescent="0.25">
      <c r="C73" s="69"/>
      <c r="D73" s="7" t="s">
        <v>158</v>
      </c>
      <c r="E73" s="19">
        <v>26.8</v>
      </c>
      <c r="F73" s="19">
        <v>25</v>
      </c>
      <c r="G73" s="70"/>
      <c r="H73" s="65">
        <v>138</v>
      </c>
      <c r="I73" s="119">
        <f t="shared" si="8"/>
        <v>3.6984000000000004</v>
      </c>
    </row>
    <row r="74" spans="2:9" x14ac:dyDescent="0.25">
      <c r="C74" s="69"/>
      <c r="D74" s="7" t="s">
        <v>32</v>
      </c>
      <c r="E74" s="19">
        <v>190</v>
      </c>
      <c r="F74" s="19">
        <v>190</v>
      </c>
      <c r="G74" s="70"/>
    </row>
    <row r="75" spans="2:9" x14ac:dyDescent="0.25">
      <c r="C75" s="69"/>
      <c r="D75" s="56" t="s">
        <v>154</v>
      </c>
      <c r="E75" s="19" t="s">
        <v>35</v>
      </c>
      <c r="F75" s="19" t="s">
        <v>35</v>
      </c>
      <c r="G75" s="70"/>
      <c r="I75" s="99">
        <f>SUM(I72:I74)</f>
        <v>4.2584</v>
      </c>
    </row>
    <row r="76" spans="2:9" x14ac:dyDescent="0.25">
      <c r="D76" s="72"/>
      <c r="E76" s="72"/>
      <c r="F76" s="72"/>
    </row>
    <row r="77" spans="2:9" x14ac:dyDescent="0.25">
      <c r="B77" s="5" t="s">
        <v>90</v>
      </c>
      <c r="C77" s="8">
        <v>30</v>
      </c>
      <c r="D77" s="5" t="s">
        <v>90</v>
      </c>
      <c r="E77" s="8">
        <v>30</v>
      </c>
      <c r="F77" s="5"/>
      <c r="G77" s="5"/>
      <c r="H77" s="5">
        <v>55.1</v>
      </c>
      <c r="I77" s="51">
        <f t="shared" ref="I77:I79" si="9">H77/1000*E77</f>
        <v>1.653</v>
      </c>
    </row>
    <row r="78" spans="2:9" x14ac:dyDescent="0.25">
      <c r="I78" s="51"/>
    </row>
    <row r="79" spans="2:9" x14ac:dyDescent="0.25">
      <c r="B79" s="65" t="s">
        <v>145</v>
      </c>
      <c r="C79" s="65">
        <v>40</v>
      </c>
      <c r="D79" s="65" t="s">
        <v>145</v>
      </c>
      <c r="E79" s="65">
        <v>40</v>
      </c>
      <c r="H79" s="65">
        <v>35.9</v>
      </c>
      <c r="I79" s="51">
        <f t="shared" si="9"/>
        <v>1.4359999999999999</v>
      </c>
    </row>
    <row r="81" spans="1:9" x14ac:dyDescent="0.25">
      <c r="A81" s="15" t="s">
        <v>110</v>
      </c>
      <c r="B81" s="13"/>
      <c r="C81" s="64"/>
      <c r="D81" s="16"/>
      <c r="E81" s="16"/>
      <c r="F81" s="16"/>
      <c r="G81" s="13"/>
      <c r="H81" s="17"/>
      <c r="I81" s="53">
        <f>I89+I102+I112+I117+I120+I122</f>
        <v>69.590060000000022</v>
      </c>
    </row>
    <row r="82" spans="1:9" x14ac:dyDescent="0.25">
      <c r="B82" s="65" t="s">
        <v>159</v>
      </c>
      <c r="C82" s="65">
        <v>100</v>
      </c>
      <c r="D82" s="11" t="s">
        <v>160</v>
      </c>
      <c r="E82" s="84">
        <v>92</v>
      </c>
      <c r="F82" s="84">
        <v>86</v>
      </c>
      <c r="H82" s="65">
        <v>45</v>
      </c>
      <c r="I82" s="119">
        <f t="shared" ref="I82:I88" si="10">H82/1000*E82</f>
        <v>4.1399999999999997</v>
      </c>
    </row>
    <row r="83" spans="1:9" x14ac:dyDescent="0.25">
      <c r="D83" s="11" t="s">
        <v>161</v>
      </c>
      <c r="E83" s="84">
        <v>5</v>
      </c>
      <c r="F83" s="84">
        <v>4</v>
      </c>
      <c r="H83" s="65">
        <v>700</v>
      </c>
      <c r="I83" s="119">
        <f t="shared" si="10"/>
        <v>3.5</v>
      </c>
    </row>
    <row r="84" spans="1:9" x14ac:dyDescent="0.25">
      <c r="D84" s="11" t="s">
        <v>162</v>
      </c>
      <c r="E84" s="84">
        <v>0.5</v>
      </c>
      <c r="F84" s="84">
        <v>0.5</v>
      </c>
      <c r="H84" s="65">
        <v>80</v>
      </c>
      <c r="I84" s="119">
        <f t="shared" si="10"/>
        <v>0.04</v>
      </c>
    </row>
    <row r="85" spans="1:9" x14ac:dyDescent="0.25">
      <c r="D85" s="11" t="s">
        <v>163</v>
      </c>
      <c r="E85" s="84">
        <v>3.5</v>
      </c>
      <c r="F85" s="84">
        <v>3.5</v>
      </c>
      <c r="H85" s="65">
        <v>163</v>
      </c>
      <c r="I85" s="119">
        <f t="shared" si="10"/>
        <v>0.57050000000000001</v>
      </c>
    </row>
    <row r="86" spans="1:9" x14ac:dyDescent="0.25">
      <c r="D86" s="11" t="s">
        <v>164</v>
      </c>
      <c r="E86" s="18">
        <v>4.5</v>
      </c>
      <c r="F86" s="84">
        <v>3.5</v>
      </c>
      <c r="H86" s="65">
        <v>700</v>
      </c>
      <c r="I86" s="119">
        <f t="shared" si="10"/>
        <v>3.15</v>
      </c>
    </row>
    <row r="87" spans="1:9" x14ac:dyDescent="0.25">
      <c r="D87" s="11" t="s">
        <v>142</v>
      </c>
      <c r="E87" s="84">
        <v>1.5</v>
      </c>
      <c r="F87" s="84">
        <v>1.5</v>
      </c>
      <c r="H87" s="65">
        <v>20</v>
      </c>
      <c r="I87" s="119">
        <f t="shared" si="10"/>
        <v>0.03</v>
      </c>
    </row>
    <row r="88" spans="1:9" x14ac:dyDescent="0.25">
      <c r="D88" s="11" t="s">
        <v>165</v>
      </c>
      <c r="E88" s="94">
        <v>0.01</v>
      </c>
      <c r="F88" s="94">
        <v>0.01</v>
      </c>
      <c r="H88" s="65">
        <v>500</v>
      </c>
      <c r="I88" s="119">
        <f t="shared" si="10"/>
        <v>5.0000000000000001E-3</v>
      </c>
    </row>
    <row r="89" spans="1:9" x14ac:dyDescent="0.25">
      <c r="D89" s="137" t="s">
        <v>112</v>
      </c>
      <c r="E89" s="137" t="s">
        <v>35</v>
      </c>
      <c r="F89" s="138">
        <v>100</v>
      </c>
      <c r="I89" s="99">
        <f>SUM(I82:I88)</f>
        <v>11.435499999999999</v>
      </c>
    </row>
    <row r="90" spans="1:9" x14ac:dyDescent="0.25">
      <c r="C90" s="69"/>
      <c r="D90" s="137"/>
      <c r="E90" s="137"/>
      <c r="F90" s="138"/>
      <c r="G90" s="70"/>
    </row>
    <row r="91" spans="1:9" ht="13.5" customHeight="1" x14ac:dyDescent="0.25">
      <c r="B91" s="65" t="s">
        <v>305</v>
      </c>
      <c r="C91" s="69"/>
      <c r="D91" s="7" t="s">
        <v>130</v>
      </c>
      <c r="E91" s="114">
        <v>100</v>
      </c>
      <c r="F91" s="114">
        <v>70</v>
      </c>
      <c r="G91" s="70"/>
      <c r="H91" s="65">
        <v>30</v>
      </c>
      <c r="I91" s="119">
        <f t="shared" ref="I91:I101" si="11">H91/1000*E91</f>
        <v>3</v>
      </c>
    </row>
    <row r="92" spans="1:9" ht="1.5" hidden="1" customHeight="1" x14ac:dyDescent="0.25">
      <c r="C92" s="69"/>
      <c r="D92" s="7" t="s">
        <v>293</v>
      </c>
      <c r="E92" s="114">
        <v>70</v>
      </c>
      <c r="F92" s="114">
        <v>70</v>
      </c>
      <c r="G92" s="70"/>
      <c r="I92" s="119">
        <f t="shared" si="11"/>
        <v>0</v>
      </c>
    </row>
    <row r="93" spans="1:9" ht="24" customHeight="1" x14ac:dyDescent="0.25">
      <c r="C93" s="69"/>
      <c r="D93" s="7" t="s">
        <v>225</v>
      </c>
      <c r="E93" s="114">
        <v>20</v>
      </c>
      <c r="F93" s="114">
        <v>16</v>
      </c>
      <c r="G93" s="70"/>
      <c r="H93" s="65">
        <v>35</v>
      </c>
      <c r="I93" s="119">
        <f t="shared" si="11"/>
        <v>0.70000000000000007</v>
      </c>
    </row>
    <row r="94" spans="1:9" ht="0.75" hidden="1" customHeight="1" x14ac:dyDescent="0.25">
      <c r="C94" s="69"/>
      <c r="D94" s="7" t="s">
        <v>294</v>
      </c>
      <c r="E94" s="114">
        <v>16</v>
      </c>
      <c r="F94" s="114">
        <v>16</v>
      </c>
      <c r="G94" s="70"/>
      <c r="I94" s="119">
        <f t="shared" si="11"/>
        <v>0</v>
      </c>
    </row>
    <row r="95" spans="1:9" ht="16.5" customHeight="1" x14ac:dyDescent="0.25">
      <c r="C95" s="69"/>
      <c r="D95" s="7" t="s">
        <v>295</v>
      </c>
      <c r="E95" s="114">
        <v>12.5</v>
      </c>
      <c r="F95" s="114">
        <v>10.5</v>
      </c>
      <c r="G95" s="70"/>
      <c r="H95" s="65">
        <v>27</v>
      </c>
      <c r="I95" s="119">
        <f t="shared" si="11"/>
        <v>0.33750000000000002</v>
      </c>
    </row>
    <row r="96" spans="1:9" ht="0.75" hidden="1" customHeight="1" x14ac:dyDescent="0.25">
      <c r="C96" s="69"/>
      <c r="D96" s="7" t="s">
        <v>296</v>
      </c>
      <c r="E96" s="114">
        <v>10.5</v>
      </c>
      <c r="F96" s="114">
        <v>10.5</v>
      </c>
      <c r="G96" s="70"/>
      <c r="I96" s="119">
        <f t="shared" si="11"/>
        <v>0</v>
      </c>
    </row>
    <row r="97" spans="2:9" x14ac:dyDescent="0.25">
      <c r="C97" s="69"/>
      <c r="D97" s="7" t="s">
        <v>297</v>
      </c>
      <c r="E97" s="114">
        <v>2.5</v>
      </c>
      <c r="F97" s="114">
        <v>1.85</v>
      </c>
      <c r="G97" s="70"/>
      <c r="H97" s="65">
        <v>700</v>
      </c>
      <c r="I97" s="119">
        <f t="shared" si="11"/>
        <v>1.75</v>
      </c>
    </row>
    <row r="98" spans="2:9" x14ac:dyDescent="0.25">
      <c r="C98" s="69"/>
      <c r="D98" s="7" t="s">
        <v>30</v>
      </c>
      <c r="E98" s="114">
        <v>10</v>
      </c>
      <c r="F98" s="114">
        <v>10</v>
      </c>
      <c r="G98" s="70"/>
      <c r="H98" s="65">
        <v>35</v>
      </c>
      <c r="I98" s="119">
        <f t="shared" si="11"/>
        <v>0.35000000000000003</v>
      </c>
    </row>
    <row r="99" spans="2:9" x14ac:dyDescent="0.25">
      <c r="C99" s="69"/>
      <c r="D99" s="7" t="s">
        <v>180</v>
      </c>
      <c r="E99" s="114">
        <v>10</v>
      </c>
      <c r="F99" s="114">
        <v>10</v>
      </c>
      <c r="G99" s="70"/>
      <c r="H99" s="5">
        <v>228</v>
      </c>
      <c r="I99" s="119">
        <f t="shared" si="11"/>
        <v>2.2800000000000002</v>
      </c>
    </row>
    <row r="100" spans="2:9" x14ac:dyDescent="0.25">
      <c r="C100" s="69"/>
      <c r="D100" s="7" t="s">
        <v>32</v>
      </c>
      <c r="E100" s="114">
        <v>300</v>
      </c>
      <c r="F100" s="114">
        <v>300</v>
      </c>
      <c r="G100" s="70"/>
      <c r="H100" s="65">
        <v>0</v>
      </c>
      <c r="I100" s="119">
        <f t="shared" si="11"/>
        <v>0</v>
      </c>
    </row>
    <row r="101" spans="2:9" x14ac:dyDescent="0.25">
      <c r="C101" s="69"/>
      <c r="D101" s="7" t="s">
        <v>34</v>
      </c>
      <c r="E101" s="114">
        <v>0.88</v>
      </c>
      <c r="F101" s="114">
        <v>0.88</v>
      </c>
      <c r="G101" s="70"/>
      <c r="H101" s="65">
        <v>20</v>
      </c>
      <c r="I101" s="119">
        <f t="shared" si="11"/>
        <v>1.7600000000000001E-2</v>
      </c>
    </row>
    <row r="102" spans="2:9" x14ac:dyDescent="0.25">
      <c r="C102" s="69"/>
      <c r="D102" s="56" t="s">
        <v>168</v>
      </c>
      <c r="E102" s="114" t="s">
        <v>35</v>
      </c>
      <c r="F102" s="114" t="s">
        <v>35</v>
      </c>
      <c r="G102" s="70"/>
      <c r="I102" s="99">
        <f>SUM(I91:I101)</f>
        <v>8.4351000000000003</v>
      </c>
    </row>
    <row r="103" spans="2:9" x14ac:dyDescent="0.25">
      <c r="C103" s="69"/>
      <c r="D103" s="136"/>
      <c r="E103" s="113"/>
      <c r="F103" s="113"/>
      <c r="G103" s="70"/>
    </row>
    <row r="104" spans="2:9" x14ac:dyDescent="0.25">
      <c r="B104" s="2" t="s">
        <v>169</v>
      </c>
      <c r="C104" s="69">
        <v>200</v>
      </c>
      <c r="D104" s="90" t="s">
        <v>170</v>
      </c>
      <c r="E104" s="113">
        <v>120.6</v>
      </c>
      <c r="F104" s="113">
        <v>106.7</v>
      </c>
      <c r="G104" s="70"/>
      <c r="H104" s="65">
        <v>270</v>
      </c>
      <c r="I104" s="119">
        <f t="shared" ref="I104:I111" si="12">H104/1000*E104</f>
        <v>32.561999999999998</v>
      </c>
    </row>
    <row r="105" spans="2:9" x14ac:dyDescent="0.25">
      <c r="C105" s="69"/>
      <c r="D105" s="7" t="s">
        <v>29</v>
      </c>
      <c r="E105" s="19">
        <v>45.3</v>
      </c>
      <c r="F105" s="19">
        <v>45.3</v>
      </c>
      <c r="G105" s="70"/>
      <c r="H105" s="65">
        <v>94</v>
      </c>
      <c r="I105" s="119">
        <f t="shared" si="12"/>
        <v>4.2581999999999995</v>
      </c>
    </row>
    <row r="106" spans="2:9" x14ac:dyDescent="0.25">
      <c r="C106" s="69"/>
      <c r="D106" s="7" t="s">
        <v>133</v>
      </c>
      <c r="E106" s="19">
        <v>10.7</v>
      </c>
      <c r="F106" s="19">
        <v>10.7</v>
      </c>
      <c r="G106" s="70"/>
      <c r="H106" s="65">
        <v>210</v>
      </c>
      <c r="I106" s="119">
        <f t="shared" si="12"/>
        <v>2.2469999999999999</v>
      </c>
    </row>
    <row r="107" spans="2:9" x14ac:dyDescent="0.25">
      <c r="C107" s="69"/>
      <c r="D107" s="7" t="s">
        <v>132</v>
      </c>
      <c r="E107" s="19">
        <v>8.4</v>
      </c>
      <c r="F107" s="19">
        <v>6.7</v>
      </c>
      <c r="G107" s="70"/>
      <c r="H107" s="65">
        <v>20</v>
      </c>
      <c r="I107" s="119">
        <f t="shared" si="12"/>
        <v>0.16800000000000001</v>
      </c>
    </row>
    <row r="108" spans="2:9" x14ac:dyDescent="0.25">
      <c r="C108" s="69"/>
      <c r="D108" s="7" t="s">
        <v>131</v>
      </c>
      <c r="E108" s="19">
        <v>13.4</v>
      </c>
      <c r="F108" s="19">
        <v>10.7</v>
      </c>
      <c r="G108" s="70"/>
      <c r="H108" s="65">
        <v>35</v>
      </c>
      <c r="I108" s="119">
        <f t="shared" si="12"/>
        <v>0.46900000000000008</v>
      </c>
    </row>
    <row r="109" spans="2:9" x14ac:dyDescent="0.25">
      <c r="C109" s="69"/>
      <c r="D109" s="7" t="s">
        <v>125</v>
      </c>
      <c r="E109" s="19">
        <v>6.7</v>
      </c>
      <c r="F109" s="19">
        <v>6.7</v>
      </c>
      <c r="G109" s="70"/>
      <c r="H109" s="65">
        <v>163</v>
      </c>
      <c r="I109" s="119">
        <f t="shared" si="12"/>
        <v>1.0921000000000001</v>
      </c>
    </row>
    <row r="110" spans="2:9" x14ac:dyDescent="0.25">
      <c r="C110" s="69"/>
      <c r="D110" s="7" t="s">
        <v>34</v>
      </c>
      <c r="E110" s="19">
        <v>0.8</v>
      </c>
      <c r="F110" s="19">
        <v>0.8</v>
      </c>
      <c r="G110" s="70"/>
      <c r="H110" s="65">
        <v>20</v>
      </c>
      <c r="I110" s="119">
        <f t="shared" si="12"/>
        <v>1.6E-2</v>
      </c>
    </row>
    <row r="111" spans="2:9" x14ac:dyDescent="0.25">
      <c r="C111" s="69"/>
      <c r="D111" s="7" t="s">
        <v>32</v>
      </c>
      <c r="E111" s="19">
        <v>181.4</v>
      </c>
      <c r="F111" s="19">
        <v>181.4</v>
      </c>
      <c r="G111" s="70"/>
      <c r="H111" s="65">
        <v>0</v>
      </c>
      <c r="I111" s="119">
        <f t="shared" si="12"/>
        <v>0</v>
      </c>
    </row>
    <row r="112" spans="2:9" x14ac:dyDescent="0.25">
      <c r="C112" s="69"/>
      <c r="D112" s="56" t="s">
        <v>154</v>
      </c>
      <c r="E112" s="19" t="s">
        <v>35</v>
      </c>
      <c r="F112" s="19" t="s">
        <v>35</v>
      </c>
      <c r="G112" s="70"/>
      <c r="I112" s="99">
        <f>SUM(I104:I111)</f>
        <v>40.8123</v>
      </c>
    </row>
    <row r="113" spans="1:9" x14ac:dyDescent="0.25">
      <c r="D113" s="72"/>
      <c r="E113" s="72"/>
      <c r="F113" s="72"/>
    </row>
    <row r="114" spans="1:9" ht="25.5" x14ac:dyDescent="0.25">
      <c r="B114" s="65" t="s">
        <v>184</v>
      </c>
      <c r="C114" s="69">
        <v>200</v>
      </c>
      <c r="D114" s="7" t="s">
        <v>183</v>
      </c>
      <c r="E114" s="114">
        <v>24</v>
      </c>
      <c r="F114" s="114">
        <v>24</v>
      </c>
      <c r="G114" s="70"/>
      <c r="H114" s="65">
        <v>209.09</v>
      </c>
      <c r="I114" s="46">
        <f t="shared" ref="I114:I116" si="13">H114/1000*E114</f>
        <v>5.01816</v>
      </c>
    </row>
    <row r="115" spans="1:9" x14ac:dyDescent="0.25">
      <c r="C115" s="69"/>
      <c r="D115" s="7" t="s">
        <v>33</v>
      </c>
      <c r="E115" s="114">
        <v>10</v>
      </c>
      <c r="F115" s="114">
        <v>10</v>
      </c>
      <c r="G115" s="70"/>
      <c r="H115" s="65">
        <v>80</v>
      </c>
      <c r="I115" s="46">
        <f t="shared" si="13"/>
        <v>0.8</v>
      </c>
    </row>
    <row r="116" spans="1:9" x14ac:dyDescent="0.25">
      <c r="C116" s="69"/>
      <c r="D116" s="7" t="s">
        <v>32</v>
      </c>
      <c r="E116" s="114">
        <v>190</v>
      </c>
      <c r="F116" s="114">
        <v>190</v>
      </c>
      <c r="G116" s="70"/>
      <c r="I116" s="46">
        <f t="shared" si="13"/>
        <v>0</v>
      </c>
    </row>
    <row r="117" spans="1:9" x14ac:dyDescent="0.25">
      <c r="C117" s="69"/>
      <c r="D117" s="56" t="s">
        <v>154</v>
      </c>
      <c r="E117" s="114" t="s">
        <v>35</v>
      </c>
      <c r="F117" s="114" t="s">
        <v>35</v>
      </c>
      <c r="G117" s="70"/>
      <c r="I117" s="99">
        <f>SUM(I114:I116)</f>
        <v>5.8181599999999998</v>
      </c>
    </row>
    <row r="118" spans="1:9" x14ac:dyDescent="0.25">
      <c r="B118" s="5"/>
      <c r="C118" s="8"/>
      <c r="D118" s="47"/>
      <c r="E118" s="55"/>
      <c r="F118" s="55"/>
      <c r="G118" s="5"/>
      <c r="H118" s="5"/>
      <c r="I118" s="51"/>
    </row>
    <row r="120" spans="1:9" x14ac:dyDescent="0.25">
      <c r="B120" s="5" t="s">
        <v>90</v>
      </c>
      <c r="C120" s="8">
        <v>30</v>
      </c>
      <c r="D120" s="5" t="s">
        <v>90</v>
      </c>
      <c r="E120" s="8">
        <v>30</v>
      </c>
      <c r="F120" s="5"/>
      <c r="G120" s="5"/>
      <c r="H120" s="5">
        <v>55.1</v>
      </c>
      <c r="I120" s="51">
        <f t="shared" ref="I120" si="14">H120/1000*E120</f>
        <v>1.653</v>
      </c>
    </row>
    <row r="121" spans="1:9" x14ac:dyDescent="0.25">
      <c r="I121" s="51"/>
    </row>
    <row r="122" spans="1:9" x14ac:dyDescent="0.25">
      <c r="B122" s="65" t="s">
        <v>145</v>
      </c>
      <c r="C122" s="65">
        <v>40</v>
      </c>
      <c r="D122" s="65" t="s">
        <v>145</v>
      </c>
      <c r="E122" s="65">
        <v>40</v>
      </c>
      <c r="H122" s="65">
        <v>35.9</v>
      </c>
      <c r="I122" s="51">
        <f t="shared" ref="I122" si="15">H122/1000*E122</f>
        <v>1.4359999999999999</v>
      </c>
    </row>
    <row r="124" spans="1:9" x14ac:dyDescent="0.25">
      <c r="A124" s="15" t="s">
        <v>115</v>
      </c>
      <c r="B124" s="13"/>
      <c r="C124" s="64"/>
      <c r="D124" s="16"/>
      <c r="E124" s="16"/>
      <c r="F124" s="16"/>
      <c r="G124" s="13"/>
      <c r="H124" s="17"/>
      <c r="I124" s="53">
        <f>I125+I136+I142+I150+I155+I157+I159</f>
        <v>74.406350000000003</v>
      </c>
    </row>
    <row r="125" spans="1:9" x14ac:dyDescent="0.25">
      <c r="B125" s="65" t="s">
        <v>171</v>
      </c>
      <c r="C125" s="65">
        <v>100</v>
      </c>
      <c r="D125" s="65" t="s">
        <v>171</v>
      </c>
      <c r="E125" s="65">
        <v>100</v>
      </c>
      <c r="H125" s="5">
        <v>60</v>
      </c>
      <c r="I125" s="46">
        <f t="shared" ref="I125" si="16">H125/1000*E125</f>
        <v>6</v>
      </c>
    </row>
    <row r="127" spans="1:9" x14ac:dyDescent="0.25">
      <c r="B127" s="2" t="s">
        <v>101</v>
      </c>
      <c r="C127" s="69">
        <v>250</v>
      </c>
      <c r="D127" s="7" t="s">
        <v>130</v>
      </c>
      <c r="E127" s="19">
        <v>68</v>
      </c>
      <c r="F127" s="19">
        <v>50</v>
      </c>
      <c r="G127" s="70"/>
      <c r="H127" s="65">
        <v>30</v>
      </c>
      <c r="I127" s="119">
        <f t="shared" ref="I127:I135" si="17">H127/1000*E127</f>
        <v>2.04</v>
      </c>
    </row>
    <row r="128" spans="1:9" x14ac:dyDescent="0.25">
      <c r="C128" s="69"/>
      <c r="D128" s="7" t="s">
        <v>191</v>
      </c>
      <c r="E128" s="19">
        <v>20</v>
      </c>
      <c r="F128" s="19">
        <v>20</v>
      </c>
      <c r="G128" s="70"/>
      <c r="H128" s="65">
        <v>315</v>
      </c>
      <c r="I128" s="119">
        <f t="shared" si="17"/>
        <v>6.3</v>
      </c>
    </row>
    <row r="129" spans="2:9" x14ac:dyDescent="0.25">
      <c r="C129" s="69"/>
      <c r="D129" s="7" t="s">
        <v>132</v>
      </c>
      <c r="E129" s="19">
        <v>12.5</v>
      </c>
      <c r="F129" s="19">
        <v>10</v>
      </c>
      <c r="G129" s="70"/>
      <c r="H129" s="65">
        <v>27</v>
      </c>
      <c r="I129" s="119">
        <f t="shared" si="17"/>
        <v>0.33750000000000002</v>
      </c>
    </row>
    <row r="130" spans="2:9" x14ac:dyDescent="0.25">
      <c r="C130" s="69"/>
      <c r="D130" s="7" t="s">
        <v>131</v>
      </c>
      <c r="E130" s="19">
        <v>15.63</v>
      </c>
      <c r="F130" s="19">
        <v>12.6</v>
      </c>
      <c r="G130" s="70"/>
      <c r="H130" s="65">
        <v>35</v>
      </c>
      <c r="I130" s="119">
        <f t="shared" si="17"/>
        <v>0.54705000000000004</v>
      </c>
    </row>
    <row r="131" spans="2:9" x14ac:dyDescent="0.25">
      <c r="C131" s="69"/>
      <c r="D131" s="7" t="s">
        <v>125</v>
      </c>
      <c r="E131" s="19">
        <v>5</v>
      </c>
      <c r="F131" s="19">
        <v>5</v>
      </c>
      <c r="G131" s="70"/>
      <c r="H131" s="65">
        <v>163</v>
      </c>
      <c r="I131" s="119">
        <f t="shared" si="17"/>
        <v>0.81500000000000006</v>
      </c>
    </row>
    <row r="132" spans="2:9" x14ac:dyDescent="0.25">
      <c r="C132" s="69"/>
      <c r="D132" s="7" t="s">
        <v>151</v>
      </c>
      <c r="E132" s="19">
        <v>0.05</v>
      </c>
      <c r="F132" s="19">
        <v>0.05</v>
      </c>
      <c r="G132" s="70"/>
      <c r="H132" s="65">
        <v>1000</v>
      </c>
      <c r="I132" s="119">
        <f t="shared" si="17"/>
        <v>0.05</v>
      </c>
    </row>
    <row r="133" spans="2:9" x14ac:dyDescent="0.25">
      <c r="C133" s="69"/>
      <c r="D133" s="7" t="s">
        <v>34</v>
      </c>
      <c r="E133" s="19">
        <v>0.38</v>
      </c>
      <c r="F133" s="19">
        <v>0.38</v>
      </c>
      <c r="G133" s="70"/>
      <c r="H133" s="65">
        <v>20</v>
      </c>
      <c r="I133" s="119">
        <f t="shared" si="17"/>
        <v>7.6E-3</v>
      </c>
    </row>
    <row r="134" spans="2:9" x14ac:dyDescent="0.25">
      <c r="C134" s="69"/>
      <c r="D134" s="7" t="s">
        <v>193</v>
      </c>
      <c r="E134" s="19">
        <v>175</v>
      </c>
      <c r="F134" s="19">
        <v>175</v>
      </c>
      <c r="G134" s="70"/>
      <c r="I134" s="119">
        <f t="shared" si="17"/>
        <v>0</v>
      </c>
    </row>
    <row r="135" spans="2:9" x14ac:dyDescent="0.25">
      <c r="C135" s="69"/>
      <c r="D135" s="7" t="s">
        <v>153</v>
      </c>
      <c r="E135" s="19">
        <v>175</v>
      </c>
      <c r="F135" s="19">
        <v>175</v>
      </c>
      <c r="G135" s="70"/>
      <c r="I135" s="119">
        <f t="shared" si="17"/>
        <v>0</v>
      </c>
    </row>
    <row r="136" spans="2:9" x14ac:dyDescent="0.25">
      <c r="C136" s="69"/>
      <c r="D136" s="56" t="s">
        <v>168</v>
      </c>
      <c r="E136" s="19" t="s">
        <v>35</v>
      </c>
      <c r="F136" s="19" t="s">
        <v>35</v>
      </c>
      <c r="G136" s="70"/>
      <c r="I136" s="99">
        <f>SUM(I127:I135)</f>
        <v>10.097150000000001</v>
      </c>
    </row>
    <row r="137" spans="2:9" x14ac:dyDescent="0.25">
      <c r="B137" s="128"/>
      <c r="C137" s="69"/>
      <c r="D137" s="56"/>
      <c r="E137" s="114"/>
      <c r="F137" s="114"/>
      <c r="G137" s="70"/>
      <c r="I137" s="99"/>
    </row>
    <row r="138" spans="2:9" x14ac:dyDescent="0.25">
      <c r="B138" s="73" t="s">
        <v>176</v>
      </c>
      <c r="C138" s="69">
        <v>180</v>
      </c>
      <c r="D138" s="7" t="s">
        <v>130</v>
      </c>
      <c r="E138" s="19">
        <v>205.69</v>
      </c>
      <c r="F138" s="19">
        <v>151.19999999999999</v>
      </c>
      <c r="G138" s="70"/>
      <c r="H138" s="65">
        <v>30</v>
      </c>
      <c r="I138" s="46">
        <f t="shared" ref="I138:I141" si="18">H138/1000*E138</f>
        <v>6.1707000000000001</v>
      </c>
    </row>
    <row r="139" spans="2:9" x14ac:dyDescent="0.25">
      <c r="C139" s="69"/>
      <c r="D139" s="7" t="s">
        <v>31</v>
      </c>
      <c r="E139" s="19">
        <v>28.8</v>
      </c>
      <c r="F139" s="19">
        <v>28.8</v>
      </c>
      <c r="G139" s="70"/>
      <c r="H139" s="65">
        <v>69</v>
      </c>
      <c r="I139" s="46">
        <f t="shared" si="18"/>
        <v>1.9872000000000003</v>
      </c>
    </row>
    <row r="140" spans="2:9" x14ac:dyDescent="0.25">
      <c r="C140" s="69"/>
      <c r="D140" s="7" t="s">
        <v>22</v>
      </c>
      <c r="E140" s="19">
        <v>8.15</v>
      </c>
      <c r="F140" s="19">
        <v>8.15</v>
      </c>
      <c r="G140" s="70"/>
      <c r="H140" s="65">
        <v>990</v>
      </c>
      <c r="I140" s="46">
        <f t="shared" si="18"/>
        <v>8.0685000000000002</v>
      </c>
    </row>
    <row r="141" spans="2:9" x14ac:dyDescent="0.25">
      <c r="C141" s="69"/>
      <c r="D141" s="7" t="s">
        <v>34</v>
      </c>
      <c r="E141" s="19">
        <v>0.59</v>
      </c>
      <c r="F141" s="19">
        <v>0.59</v>
      </c>
      <c r="G141" s="70"/>
      <c r="H141" s="65">
        <v>20</v>
      </c>
      <c r="I141" s="46">
        <f t="shared" si="18"/>
        <v>1.18E-2</v>
      </c>
    </row>
    <row r="142" spans="2:9" x14ac:dyDescent="0.25">
      <c r="C142" s="69"/>
      <c r="D142" s="56" t="s">
        <v>156</v>
      </c>
      <c r="E142" s="19" t="s">
        <v>35</v>
      </c>
      <c r="F142" s="19" t="s">
        <v>35</v>
      </c>
      <c r="G142" s="70"/>
      <c r="I142" s="99">
        <f>SUM(I138:I141)</f>
        <v>16.238199999999999</v>
      </c>
    </row>
    <row r="143" spans="2:9" x14ac:dyDescent="0.25">
      <c r="D143" s="72"/>
      <c r="E143" s="72"/>
      <c r="F143" s="72"/>
    </row>
    <row r="144" spans="2:9" x14ac:dyDescent="0.25">
      <c r="B144" s="65" t="s">
        <v>96</v>
      </c>
      <c r="C144" s="65">
        <v>100</v>
      </c>
      <c r="D144" s="11" t="s">
        <v>179</v>
      </c>
      <c r="E144" s="84">
        <v>135</v>
      </c>
      <c r="F144" s="84">
        <v>115</v>
      </c>
      <c r="H144" s="65">
        <v>210</v>
      </c>
      <c r="I144" s="46">
        <f t="shared" ref="I144:I149" si="19">H144/1000*E144</f>
        <v>28.349999999999998</v>
      </c>
    </row>
    <row r="145" spans="2:9" x14ac:dyDescent="0.25">
      <c r="D145" s="11" t="s">
        <v>180</v>
      </c>
      <c r="E145" s="84">
        <v>10</v>
      </c>
      <c r="F145" s="84">
        <v>10</v>
      </c>
      <c r="H145" s="65">
        <v>228</v>
      </c>
      <c r="I145" s="46">
        <f t="shared" si="19"/>
        <v>2.2800000000000002</v>
      </c>
    </row>
    <row r="146" spans="2:9" x14ac:dyDescent="0.25">
      <c r="D146" s="11" t="s">
        <v>181</v>
      </c>
      <c r="E146" s="84">
        <v>10</v>
      </c>
      <c r="F146" s="84">
        <v>10</v>
      </c>
      <c r="I146" s="46">
        <f t="shared" si="19"/>
        <v>0</v>
      </c>
    </row>
    <row r="147" spans="2:9" x14ac:dyDescent="0.25">
      <c r="D147" s="11" t="s">
        <v>182</v>
      </c>
      <c r="E147" s="84">
        <v>3</v>
      </c>
      <c r="F147" s="84">
        <v>3</v>
      </c>
      <c r="H147" s="65">
        <v>39</v>
      </c>
      <c r="I147" s="46">
        <f t="shared" si="19"/>
        <v>0.11699999999999999</v>
      </c>
    </row>
    <row r="148" spans="2:9" x14ac:dyDescent="0.25">
      <c r="D148" s="11" t="s">
        <v>22</v>
      </c>
      <c r="E148" s="84">
        <v>3</v>
      </c>
      <c r="F148" s="84">
        <v>3</v>
      </c>
      <c r="H148" s="65">
        <v>990</v>
      </c>
      <c r="I148" s="46">
        <f t="shared" si="19"/>
        <v>2.9699999999999998</v>
      </c>
    </row>
    <row r="149" spans="2:9" x14ac:dyDescent="0.25">
      <c r="D149" s="11" t="s">
        <v>142</v>
      </c>
      <c r="E149" s="84">
        <v>0.5</v>
      </c>
      <c r="F149" s="84">
        <v>0.5</v>
      </c>
      <c r="H149" s="65">
        <v>20</v>
      </c>
      <c r="I149" s="46">
        <f t="shared" si="19"/>
        <v>0.01</v>
      </c>
    </row>
    <row r="150" spans="2:9" x14ac:dyDescent="0.25">
      <c r="D150" s="12" t="s">
        <v>112</v>
      </c>
      <c r="E150" s="12" t="s">
        <v>35</v>
      </c>
      <c r="F150" s="12">
        <v>100</v>
      </c>
      <c r="I150" s="99">
        <f>SUM(I144:I149)</f>
        <v>33.726999999999997</v>
      </c>
    </row>
    <row r="152" spans="2:9" x14ac:dyDescent="0.25">
      <c r="B152" s="65" t="s">
        <v>299</v>
      </c>
      <c r="C152" s="69">
        <v>200</v>
      </c>
      <c r="D152" s="7" t="s">
        <v>300</v>
      </c>
      <c r="E152" s="114">
        <v>17</v>
      </c>
      <c r="F152" s="114">
        <v>7</v>
      </c>
      <c r="G152" s="70"/>
      <c r="H152" s="65">
        <v>215</v>
      </c>
      <c r="I152" s="46">
        <f t="shared" ref="I152:I154" si="20">H152/1000*E152</f>
        <v>3.6549999999999998</v>
      </c>
    </row>
    <row r="153" spans="2:9" x14ac:dyDescent="0.25">
      <c r="C153" s="69"/>
      <c r="D153" s="7" t="s">
        <v>32</v>
      </c>
      <c r="E153" s="114">
        <v>214</v>
      </c>
      <c r="F153" s="114">
        <v>214</v>
      </c>
      <c r="G153" s="70"/>
      <c r="H153" s="65">
        <v>0</v>
      </c>
      <c r="I153" s="46">
        <f t="shared" si="20"/>
        <v>0</v>
      </c>
    </row>
    <row r="154" spans="2:9" x14ac:dyDescent="0.25">
      <c r="C154" s="69"/>
      <c r="D154" s="7" t="s">
        <v>33</v>
      </c>
      <c r="E154" s="114">
        <v>20</v>
      </c>
      <c r="F154" s="114">
        <v>20</v>
      </c>
      <c r="G154" s="70"/>
      <c r="H154" s="65">
        <v>80</v>
      </c>
      <c r="I154" s="46">
        <f t="shared" si="20"/>
        <v>1.6</v>
      </c>
    </row>
    <row r="155" spans="2:9" x14ac:dyDescent="0.25">
      <c r="C155" s="69"/>
      <c r="D155" s="56" t="s">
        <v>154</v>
      </c>
      <c r="E155" s="114" t="s">
        <v>35</v>
      </c>
      <c r="F155" s="114" t="s">
        <v>35</v>
      </c>
      <c r="G155" s="70"/>
      <c r="I155" s="99">
        <f>SUM(I152:I154)</f>
        <v>5.2549999999999999</v>
      </c>
    </row>
    <row r="156" spans="2:9" x14ac:dyDescent="0.25">
      <c r="D156" s="72"/>
      <c r="E156" s="72"/>
      <c r="F156" s="72"/>
    </row>
    <row r="157" spans="2:9" x14ac:dyDescent="0.25">
      <c r="B157" s="5" t="s">
        <v>90</v>
      </c>
      <c r="C157" s="8">
        <v>30</v>
      </c>
      <c r="D157" s="5" t="s">
        <v>90</v>
      </c>
      <c r="E157" s="8">
        <v>30</v>
      </c>
      <c r="F157" s="5"/>
      <c r="G157" s="5"/>
      <c r="H157" s="5">
        <v>55.1</v>
      </c>
      <c r="I157" s="51">
        <f t="shared" ref="I157" si="21">H157/1000*E157</f>
        <v>1.653</v>
      </c>
    </row>
    <row r="158" spans="2:9" x14ac:dyDescent="0.25">
      <c r="I158" s="51"/>
    </row>
    <row r="159" spans="2:9" x14ac:dyDescent="0.25">
      <c r="B159" s="65" t="s">
        <v>145</v>
      </c>
      <c r="C159" s="65">
        <v>40</v>
      </c>
      <c r="D159" s="65" t="s">
        <v>145</v>
      </c>
      <c r="E159" s="65">
        <v>40</v>
      </c>
      <c r="H159" s="65">
        <v>35.9</v>
      </c>
      <c r="I159" s="51">
        <f t="shared" ref="I159" si="22">H159/1000*E159</f>
        <v>1.4359999999999999</v>
      </c>
    </row>
    <row r="161" spans="1:9" x14ac:dyDescent="0.25">
      <c r="A161" s="15" t="s">
        <v>120</v>
      </c>
      <c r="B161" s="13"/>
      <c r="C161" s="64"/>
      <c r="D161" s="16"/>
      <c r="E161" s="16"/>
      <c r="F161" s="16"/>
      <c r="G161" s="13"/>
      <c r="H161" s="17"/>
      <c r="I161" s="53">
        <f>I165+I178+I184+I196+I201+I203+I205</f>
        <v>82.948299999999989</v>
      </c>
    </row>
    <row r="162" spans="1:9" ht="30" x14ac:dyDescent="0.25">
      <c r="B162" s="66" t="s">
        <v>127</v>
      </c>
      <c r="C162" s="65">
        <v>100</v>
      </c>
      <c r="D162" s="58" t="s">
        <v>123</v>
      </c>
      <c r="E162" s="59">
        <v>94</v>
      </c>
      <c r="F162" s="59">
        <v>94</v>
      </c>
    </row>
    <row r="163" spans="1:9" x14ac:dyDescent="0.25">
      <c r="D163" s="60" t="s">
        <v>124</v>
      </c>
      <c r="E163" s="59">
        <v>117.5</v>
      </c>
      <c r="F163" s="59">
        <v>94</v>
      </c>
      <c r="H163" s="65">
        <v>35</v>
      </c>
      <c r="I163" s="119">
        <f>H163/1000*E163</f>
        <v>4.1125000000000007</v>
      </c>
    </row>
    <row r="164" spans="1:9" x14ac:dyDescent="0.25">
      <c r="D164" s="58" t="s">
        <v>125</v>
      </c>
      <c r="E164" s="59">
        <v>7</v>
      </c>
      <c r="F164" s="59">
        <v>7</v>
      </c>
      <c r="H164" s="65">
        <v>163</v>
      </c>
      <c r="I164" s="119">
        <f>H164/1000*E164</f>
        <v>1.141</v>
      </c>
    </row>
    <row r="165" spans="1:9" x14ac:dyDescent="0.25">
      <c r="D165" s="61" t="s">
        <v>126</v>
      </c>
      <c r="E165" s="62"/>
      <c r="F165" s="62">
        <v>100</v>
      </c>
      <c r="I165" s="99">
        <f>I163+I164</f>
        <v>5.2535000000000007</v>
      </c>
    </row>
    <row r="166" spans="1:9" x14ac:dyDescent="0.25">
      <c r="D166" s="71"/>
      <c r="E166" s="71"/>
      <c r="F166" s="71"/>
    </row>
    <row r="167" spans="1:9" x14ac:dyDescent="0.25">
      <c r="B167" s="89" t="s">
        <v>185</v>
      </c>
      <c r="C167" s="69">
        <v>250</v>
      </c>
      <c r="D167" s="7" t="s">
        <v>180</v>
      </c>
      <c r="E167" s="19">
        <v>12.5</v>
      </c>
      <c r="F167" s="19">
        <v>12.5</v>
      </c>
      <c r="G167" s="70"/>
      <c r="H167" s="65">
        <v>228</v>
      </c>
      <c r="I167" s="119">
        <f t="shared" ref="I167:I177" si="23">H167/1000*E167</f>
        <v>2.85</v>
      </c>
    </row>
    <row r="168" spans="1:9" x14ac:dyDescent="0.25">
      <c r="C168" s="69"/>
      <c r="D168" s="7" t="s">
        <v>130</v>
      </c>
      <c r="E168" s="19">
        <v>102</v>
      </c>
      <c r="F168" s="19">
        <v>75</v>
      </c>
      <c r="G168" s="70"/>
      <c r="H168" s="65">
        <v>30</v>
      </c>
      <c r="I168" s="119">
        <f t="shared" si="23"/>
        <v>3.06</v>
      </c>
    </row>
    <row r="169" spans="1:9" x14ac:dyDescent="0.25">
      <c r="C169" s="69"/>
      <c r="D169" s="7" t="s">
        <v>29</v>
      </c>
      <c r="E169" s="19">
        <v>5</v>
      </c>
      <c r="F169" s="19">
        <v>5</v>
      </c>
      <c r="G169" s="70"/>
      <c r="H169" s="65">
        <v>94</v>
      </c>
      <c r="I169" s="119">
        <f t="shared" si="23"/>
        <v>0.47</v>
      </c>
    </row>
    <row r="170" spans="1:9" x14ac:dyDescent="0.25">
      <c r="C170" s="69"/>
      <c r="D170" s="7" t="s">
        <v>132</v>
      </c>
      <c r="E170" s="19">
        <v>12.5</v>
      </c>
      <c r="F170" s="19">
        <v>10</v>
      </c>
      <c r="G170" s="70"/>
      <c r="H170" s="65">
        <v>27</v>
      </c>
      <c r="I170" s="119">
        <f t="shared" si="23"/>
        <v>0.33750000000000002</v>
      </c>
    </row>
    <row r="171" spans="1:9" x14ac:dyDescent="0.25">
      <c r="C171" s="69"/>
      <c r="D171" s="7" t="s">
        <v>131</v>
      </c>
      <c r="E171" s="19">
        <v>12.5</v>
      </c>
      <c r="F171" s="19">
        <v>10</v>
      </c>
      <c r="G171" s="70"/>
      <c r="H171" s="65">
        <v>35</v>
      </c>
      <c r="I171" s="119">
        <f t="shared" si="23"/>
        <v>0.43750000000000006</v>
      </c>
    </row>
    <row r="172" spans="1:9" x14ac:dyDescent="0.25">
      <c r="C172" s="69"/>
      <c r="D172" s="7" t="s">
        <v>186</v>
      </c>
      <c r="E172" s="19" t="s">
        <v>187</v>
      </c>
      <c r="F172" s="19">
        <v>15</v>
      </c>
      <c r="G172" s="70"/>
      <c r="H172" s="65">
        <v>74.33</v>
      </c>
    </row>
    <row r="173" spans="1:9" x14ac:dyDescent="0.25">
      <c r="C173" s="69"/>
      <c r="D173" s="7" t="s">
        <v>125</v>
      </c>
      <c r="E173" s="19">
        <v>5</v>
      </c>
      <c r="F173" s="19">
        <v>5</v>
      </c>
      <c r="G173" s="70"/>
      <c r="H173" s="65">
        <v>163</v>
      </c>
      <c r="I173" s="119">
        <f t="shared" si="23"/>
        <v>0.81500000000000006</v>
      </c>
    </row>
    <row r="174" spans="1:9" x14ac:dyDescent="0.25">
      <c r="C174" s="69"/>
      <c r="D174" s="7" t="s">
        <v>151</v>
      </c>
      <c r="E174" s="19">
        <v>0.05</v>
      </c>
      <c r="F174" s="19">
        <v>0.05</v>
      </c>
      <c r="G174" s="70"/>
      <c r="H174" s="65">
        <v>1000</v>
      </c>
      <c r="I174" s="119">
        <f t="shared" si="23"/>
        <v>0.05</v>
      </c>
    </row>
    <row r="175" spans="1:9" x14ac:dyDescent="0.25">
      <c r="C175" s="69"/>
      <c r="D175" s="7" t="s">
        <v>34</v>
      </c>
      <c r="E175" s="19">
        <v>0.38</v>
      </c>
      <c r="F175" s="19">
        <v>0.38</v>
      </c>
      <c r="G175" s="70"/>
      <c r="H175" s="65">
        <v>20</v>
      </c>
      <c r="I175" s="119">
        <f t="shared" si="23"/>
        <v>7.6E-3</v>
      </c>
    </row>
    <row r="176" spans="1:9" x14ac:dyDescent="0.25">
      <c r="C176" s="69"/>
      <c r="D176" s="7" t="s">
        <v>152</v>
      </c>
      <c r="E176" s="19">
        <v>187.5</v>
      </c>
      <c r="F176" s="19">
        <v>187.5</v>
      </c>
      <c r="G176" s="70"/>
      <c r="I176" s="119">
        <f t="shared" si="23"/>
        <v>0</v>
      </c>
    </row>
    <row r="177" spans="2:9" x14ac:dyDescent="0.25">
      <c r="C177" s="69"/>
      <c r="D177" s="7" t="s">
        <v>153</v>
      </c>
      <c r="E177" s="19">
        <v>187.5</v>
      </c>
      <c r="F177" s="19">
        <v>187.5</v>
      </c>
      <c r="G177" s="70"/>
      <c r="I177" s="119">
        <f t="shared" si="23"/>
        <v>0</v>
      </c>
    </row>
    <row r="178" spans="2:9" x14ac:dyDescent="0.25">
      <c r="C178" s="69"/>
      <c r="D178" s="56" t="s">
        <v>168</v>
      </c>
      <c r="E178" s="19" t="s">
        <v>35</v>
      </c>
      <c r="F178" s="19" t="s">
        <v>35</v>
      </c>
      <c r="G178" s="70"/>
      <c r="I178" s="99">
        <f>SUM(I167:I177)</f>
        <v>8.0276000000000014</v>
      </c>
    </row>
    <row r="179" spans="2:9" x14ac:dyDescent="0.25">
      <c r="D179" s="74"/>
      <c r="E179" s="74"/>
      <c r="F179" s="74"/>
    </row>
    <row r="180" spans="2:9" x14ac:dyDescent="0.25">
      <c r="B180" s="65" t="s">
        <v>189</v>
      </c>
      <c r="C180" s="69">
        <v>180</v>
      </c>
      <c r="D180" s="7" t="s">
        <v>188</v>
      </c>
      <c r="E180" s="19">
        <v>82.8</v>
      </c>
      <c r="F180" s="19">
        <v>82.8</v>
      </c>
      <c r="G180" s="70"/>
      <c r="H180" s="65">
        <v>80</v>
      </c>
      <c r="I180" s="119">
        <f t="shared" ref="I180:I183" si="24">H180/1000*E180</f>
        <v>6.6239999999999997</v>
      </c>
    </row>
    <row r="181" spans="2:9" x14ac:dyDescent="0.25">
      <c r="C181" s="69"/>
      <c r="D181" s="7" t="s">
        <v>22</v>
      </c>
      <c r="E181" s="19">
        <v>8.15</v>
      </c>
      <c r="F181" s="19">
        <v>8.15</v>
      </c>
      <c r="G181" s="70"/>
      <c r="H181" s="65">
        <v>990</v>
      </c>
      <c r="I181" s="119">
        <f t="shared" si="24"/>
        <v>8.0685000000000002</v>
      </c>
    </row>
    <row r="182" spans="2:9" x14ac:dyDescent="0.25">
      <c r="C182" s="69"/>
      <c r="D182" s="7" t="s">
        <v>34</v>
      </c>
      <c r="E182" s="19">
        <v>0.59</v>
      </c>
      <c r="F182" s="19">
        <v>0.59</v>
      </c>
      <c r="G182" s="70"/>
      <c r="H182" s="65">
        <v>20</v>
      </c>
      <c r="I182" s="119">
        <f t="shared" si="24"/>
        <v>1.18E-2</v>
      </c>
    </row>
    <row r="183" spans="2:9" x14ac:dyDescent="0.25">
      <c r="C183" s="69"/>
      <c r="D183" s="7" t="s">
        <v>32</v>
      </c>
      <c r="E183" s="19">
        <v>122.4</v>
      </c>
      <c r="F183" s="19">
        <v>122.4</v>
      </c>
      <c r="G183" s="70"/>
      <c r="I183" s="119">
        <f t="shared" si="24"/>
        <v>0</v>
      </c>
    </row>
    <row r="184" spans="2:9" x14ac:dyDescent="0.25">
      <c r="C184" s="69"/>
      <c r="D184" s="56" t="s">
        <v>156</v>
      </c>
      <c r="E184" s="19" t="s">
        <v>35</v>
      </c>
      <c r="F184" s="19" t="s">
        <v>35</v>
      </c>
      <c r="G184" s="70"/>
      <c r="I184" s="99">
        <f>SUM(I180:I183)</f>
        <v>14.704299999999998</v>
      </c>
    </row>
    <row r="185" spans="2:9" x14ac:dyDescent="0.25">
      <c r="D185" s="74"/>
      <c r="E185" s="74"/>
      <c r="F185" s="74"/>
    </row>
    <row r="186" spans="2:9" x14ac:dyDescent="0.25">
      <c r="B186" s="65" t="s">
        <v>309</v>
      </c>
      <c r="C186" s="69">
        <v>100</v>
      </c>
      <c r="D186" s="7" t="s">
        <v>155</v>
      </c>
      <c r="E186" s="123">
        <v>100</v>
      </c>
      <c r="F186" s="123"/>
      <c r="G186" s="70"/>
      <c r="H186" s="92">
        <v>614</v>
      </c>
    </row>
    <row r="187" spans="2:9" x14ac:dyDescent="0.25">
      <c r="C187" s="69"/>
      <c r="D187" s="7" t="s">
        <v>310</v>
      </c>
      <c r="E187" s="123">
        <v>87.5</v>
      </c>
      <c r="F187" s="123"/>
      <c r="G187" s="70"/>
      <c r="H187" s="65">
        <v>398</v>
      </c>
      <c r="I187" s="119">
        <f t="shared" ref="I187:I195" si="25">H187/1000*E187</f>
        <v>34.825000000000003</v>
      </c>
    </row>
    <row r="188" spans="2:9" x14ac:dyDescent="0.25">
      <c r="C188" s="69"/>
      <c r="D188" s="7" t="s">
        <v>311</v>
      </c>
      <c r="E188" s="123">
        <v>112.5</v>
      </c>
      <c r="F188" s="123"/>
      <c r="G188" s="70"/>
      <c r="I188" s="119">
        <f t="shared" si="25"/>
        <v>0</v>
      </c>
    </row>
    <row r="189" spans="2:9" x14ac:dyDescent="0.25">
      <c r="C189" s="69"/>
      <c r="D189" s="7" t="s">
        <v>312</v>
      </c>
      <c r="E189" s="123" t="s">
        <v>35</v>
      </c>
      <c r="F189" s="123"/>
      <c r="G189" s="70"/>
    </row>
    <row r="190" spans="2:9" ht="25.5" x14ac:dyDescent="0.25">
      <c r="C190" s="69"/>
      <c r="D190" s="7" t="s">
        <v>313</v>
      </c>
      <c r="E190" s="123">
        <v>17.5</v>
      </c>
      <c r="F190" s="141"/>
      <c r="G190" s="70"/>
      <c r="H190" s="65">
        <v>55.1</v>
      </c>
      <c r="I190" s="119">
        <f t="shared" si="25"/>
        <v>0.96425000000000005</v>
      </c>
    </row>
    <row r="191" spans="2:9" ht="25.5" x14ac:dyDescent="0.25">
      <c r="C191" s="69"/>
      <c r="D191" s="7" t="s">
        <v>314</v>
      </c>
      <c r="E191" s="123">
        <v>23.75</v>
      </c>
      <c r="F191" s="123"/>
      <c r="G191" s="70"/>
      <c r="H191" s="65">
        <v>69</v>
      </c>
      <c r="I191" s="119">
        <f t="shared" si="25"/>
        <v>1.6387500000000002</v>
      </c>
    </row>
    <row r="192" spans="2:9" x14ac:dyDescent="0.25">
      <c r="C192" s="69"/>
      <c r="D192" s="7" t="s">
        <v>136</v>
      </c>
      <c r="E192" s="123">
        <v>23.75</v>
      </c>
      <c r="F192" s="123"/>
      <c r="G192" s="70"/>
      <c r="I192" s="119">
        <f t="shared" si="25"/>
        <v>0</v>
      </c>
    </row>
    <row r="193" spans="1:9" x14ac:dyDescent="0.25">
      <c r="C193" s="69"/>
      <c r="D193" s="7" t="s">
        <v>315</v>
      </c>
      <c r="E193" s="123">
        <v>10</v>
      </c>
      <c r="F193" s="123"/>
      <c r="G193" s="70"/>
      <c r="H193" s="65">
        <v>400</v>
      </c>
      <c r="I193" s="119">
        <f t="shared" si="25"/>
        <v>4</v>
      </c>
    </row>
    <row r="194" spans="1:9" x14ac:dyDescent="0.25">
      <c r="C194" s="69"/>
      <c r="D194" s="7" t="s">
        <v>119</v>
      </c>
      <c r="E194" s="123" t="s">
        <v>35</v>
      </c>
      <c r="F194" s="123"/>
      <c r="G194" s="70"/>
    </row>
    <row r="195" spans="1:9" x14ac:dyDescent="0.25">
      <c r="C195" s="69"/>
      <c r="D195" s="7" t="s">
        <v>22</v>
      </c>
      <c r="E195" s="123">
        <v>6.25</v>
      </c>
      <c r="F195" s="95"/>
      <c r="G195" s="70"/>
      <c r="H195" s="65">
        <v>990</v>
      </c>
      <c r="I195" s="119">
        <f t="shared" si="25"/>
        <v>6.1875</v>
      </c>
    </row>
    <row r="196" spans="1:9" x14ac:dyDescent="0.25">
      <c r="C196" s="69"/>
      <c r="D196" s="56" t="s">
        <v>207</v>
      </c>
      <c r="E196" s="123" t="s">
        <v>35</v>
      </c>
      <c r="F196" s="123"/>
      <c r="G196" s="70"/>
      <c r="I196" s="99">
        <f>SUM(I186:I195)</f>
        <v>47.615500000000004</v>
      </c>
    </row>
    <row r="197" spans="1:9" x14ac:dyDescent="0.25">
      <c r="B197" s="128"/>
      <c r="C197" s="69"/>
      <c r="D197" s="136"/>
      <c r="E197" s="124"/>
      <c r="F197" s="124"/>
      <c r="G197" s="70"/>
    </row>
    <row r="198" spans="1:9" x14ac:dyDescent="0.25">
      <c r="B198" s="73" t="s">
        <v>157</v>
      </c>
      <c r="C198" s="65">
        <v>200</v>
      </c>
      <c r="D198" s="90" t="s">
        <v>33</v>
      </c>
      <c r="E198" s="124">
        <v>7</v>
      </c>
      <c r="F198" s="124">
        <v>7</v>
      </c>
      <c r="G198" s="70"/>
      <c r="H198" s="65">
        <v>80</v>
      </c>
      <c r="I198" s="119">
        <f t="shared" ref="I198:I199" si="26">H198/1000*E198</f>
        <v>0.56000000000000005</v>
      </c>
    </row>
    <row r="199" spans="1:9" x14ac:dyDescent="0.25">
      <c r="D199" s="7" t="s">
        <v>158</v>
      </c>
      <c r="E199" s="19">
        <v>26.8</v>
      </c>
      <c r="F199" s="19">
        <v>25</v>
      </c>
      <c r="G199" s="70"/>
      <c r="H199" s="65">
        <v>138</v>
      </c>
      <c r="I199" s="119">
        <f t="shared" si="26"/>
        <v>3.6984000000000004</v>
      </c>
    </row>
    <row r="200" spans="1:9" x14ac:dyDescent="0.25">
      <c r="D200" s="7" t="s">
        <v>32</v>
      </c>
      <c r="E200" s="19">
        <v>190</v>
      </c>
      <c r="F200" s="19">
        <v>190</v>
      </c>
      <c r="G200" s="70"/>
    </row>
    <row r="201" spans="1:9" x14ac:dyDescent="0.25">
      <c r="D201" s="56" t="s">
        <v>154</v>
      </c>
      <c r="E201" s="19" t="s">
        <v>35</v>
      </c>
      <c r="F201" s="19" t="s">
        <v>35</v>
      </c>
      <c r="G201" s="70"/>
      <c r="I201" s="99">
        <f>SUM(I198:I200)</f>
        <v>4.2584</v>
      </c>
    </row>
    <row r="203" spans="1:9" x14ac:dyDescent="0.25">
      <c r="B203" s="5" t="s">
        <v>90</v>
      </c>
      <c r="C203" s="8">
        <v>30</v>
      </c>
      <c r="D203" s="5" t="s">
        <v>90</v>
      </c>
      <c r="E203" s="8">
        <v>30</v>
      </c>
      <c r="F203" s="5"/>
      <c r="G203" s="5"/>
      <c r="H203" s="5">
        <v>55.1</v>
      </c>
      <c r="I203" s="51">
        <f t="shared" ref="I203:I205" si="27">H203/1000*E203</f>
        <v>1.653</v>
      </c>
    </row>
    <row r="204" spans="1:9" x14ac:dyDescent="0.25">
      <c r="I204" s="51"/>
    </row>
    <row r="205" spans="1:9" x14ac:dyDescent="0.25">
      <c r="B205" s="65" t="s">
        <v>145</v>
      </c>
      <c r="C205" s="65">
        <v>40</v>
      </c>
      <c r="D205" s="65" t="s">
        <v>145</v>
      </c>
      <c r="E205" s="65">
        <v>40</v>
      </c>
      <c r="H205" s="65">
        <v>35.9</v>
      </c>
      <c r="I205" s="51">
        <f t="shared" si="27"/>
        <v>1.4359999999999999</v>
      </c>
    </row>
    <row r="207" spans="1:9" x14ac:dyDescent="0.25">
      <c r="A207" s="15" t="s">
        <v>122</v>
      </c>
      <c r="B207" s="13"/>
      <c r="C207" s="64"/>
      <c r="D207" s="16"/>
      <c r="E207" s="16"/>
      <c r="F207" s="16"/>
      <c r="G207" s="13"/>
      <c r="H207" s="17"/>
      <c r="I207" s="53">
        <f>I215+I226+I232+I237+I242+I244+I245</f>
        <v>62.962510000000002</v>
      </c>
    </row>
    <row r="208" spans="1:9" x14ac:dyDescent="0.25">
      <c r="B208" s="65" t="s">
        <v>159</v>
      </c>
      <c r="C208" s="65">
        <v>100</v>
      </c>
      <c r="D208" s="11" t="s">
        <v>160</v>
      </c>
      <c r="E208" s="84">
        <v>92</v>
      </c>
      <c r="F208" s="84">
        <v>86</v>
      </c>
      <c r="H208" s="65">
        <v>45</v>
      </c>
      <c r="I208" s="119">
        <f t="shared" ref="I208:I214" si="28">H208/1000*E208</f>
        <v>4.1399999999999997</v>
      </c>
    </row>
    <row r="209" spans="2:9" x14ac:dyDescent="0.25">
      <c r="D209" s="11" t="s">
        <v>161</v>
      </c>
      <c r="E209" s="84">
        <v>5</v>
      </c>
      <c r="F209" s="84">
        <v>4</v>
      </c>
      <c r="H209" s="65">
        <v>700</v>
      </c>
      <c r="I209" s="119">
        <f t="shared" si="28"/>
        <v>3.5</v>
      </c>
    </row>
    <row r="210" spans="2:9" x14ac:dyDescent="0.25">
      <c r="D210" s="11" t="s">
        <v>162</v>
      </c>
      <c r="E210" s="84">
        <v>0.5</v>
      </c>
      <c r="F210" s="84">
        <v>0.5</v>
      </c>
      <c r="H210" s="65">
        <v>80</v>
      </c>
      <c r="I210" s="119">
        <f t="shared" si="28"/>
        <v>0.04</v>
      </c>
    </row>
    <row r="211" spans="2:9" x14ac:dyDescent="0.25">
      <c r="D211" s="11" t="s">
        <v>163</v>
      </c>
      <c r="E211" s="84">
        <v>3.5</v>
      </c>
      <c r="F211" s="84">
        <v>3.5</v>
      </c>
      <c r="H211" s="65">
        <v>163</v>
      </c>
      <c r="I211" s="119">
        <f t="shared" si="28"/>
        <v>0.57050000000000001</v>
      </c>
    </row>
    <row r="212" spans="2:9" x14ac:dyDescent="0.25">
      <c r="D212" s="11" t="s">
        <v>164</v>
      </c>
      <c r="E212" s="18">
        <v>4.5</v>
      </c>
      <c r="F212" s="84">
        <v>3.5</v>
      </c>
      <c r="H212" s="65">
        <v>700</v>
      </c>
      <c r="I212" s="119">
        <f t="shared" si="28"/>
        <v>3.15</v>
      </c>
    </row>
    <row r="213" spans="2:9" x14ac:dyDescent="0.25">
      <c r="D213" s="11" t="s">
        <v>142</v>
      </c>
      <c r="E213" s="84">
        <v>1.5</v>
      </c>
      <c r="F213" s="84">
        <v>1.5</v>
      </c>
      <c r="H213" s="65">
        <v>20</v>
      </c>
      <c r="I213" s="119">
        <f t="shared" si="28"/>
        <v>0.03</v>
      </c>
    </row>
    <row r="214" spans="2:9" x14ac:dyDescent="0.25">
      <c r="D214" s="11" t="s">
        <v>165</v>
      </c>
      <c r="E214" s="94">
        <v>0.01</v>
      </c>
      <c r="F214" s="94">
        <v>0.01</v>
      </c>
      <c r="H214" s="65">
        <v>500</v>
      </c>
      <c r="I214" s="119">
        <f t="shared" si="28"/>
        <v>5.0000000000000001E-3</v>
      </c>
    </row>
    <row r="215" spans="2:9" x14ac:dyDescent="0.25">
      <c r="D215" s="137" t="s">
        <v>112</v>
      </c>
      <c r="E215" s="137" t="s">
        <v>35</v>
      </c>
      <c r="F215" s="138">
        <v>100</v>
      </c>
      <c r="I215" s="99">
        <f>SUM(I208:I214)</f>
        <v>11.435499999999999</v>
      </c>
    </row>
    <row r="216" spans="2:9" x14ac:dyDescent="0.25">
      <c r="B216" s="128"/>
      <c r="C216" s="69"/>
      <c r="D216" s="71"/>
      <c r="E216" s="71"/>
      <c r="F216" s="71"/>
      <c r="G216" s="70"/>
    </row>
    <row r="217" spans="2:9" x14ac:dyDescent="0.25">
      <c r="B217" s="73" t="s">
        <v>68</v>
      </c>
      <c r="C217" s="69">
        <v>250</v>
      </c>
      <c r="D217" s="7" t="s">
        <v>129</v>
      </c>
      <c r="E217" s="184">
        <v>62.5</v>
      </c>
      <c r="F217" s="184">
        <v>50</v>
      </c>
      <c r="G217" s="70"/>
      <c r="H217" s="65">
        <v>45</v>
      </c>
      <c r="I217" s="119">
        <f t="shared" ref="I217:I225" si="29">H217/1000*E217</f>
        <v>2.8125</v>
      </c>
    </row>
    <row r="218" spans="2:9" x14ac:dyDescent="0.25">
      <c r="C218" s="69"/>
      <c r="D218" s="7" t="s">
        <v>130</v>
      </c>
      <c r="E218" s="184">
        <v>40</v>
      </c>
      <c r="F218" s="184">
        <v>30</v>
      </c>
      <c r="G218" s="70"/>
      <c r="H218" s="65">
        <v>30</v>
      </c>
      <c r="I218" s="119">
        <f t="shared" si="29"/>
        <v>1.2</v>
      </c>
    </row>
    <row r="219" spans="2:9" x14ac:dyDescent="0.25">
      <c r="C219" s="69"/>
      <c r="D219" s="7" t="s">
        <v>131</v>
      </c>
      <c r="E219" s="114">
        <v>15.75</v>
      </c>
      <c r="F219" s="114">
        <v>12.5</v>
      </c>
      <c r="G219" s="70"/>
      <c r="H219" s="65">
        <v>35</v>
      </c>
      <c r="I219" s="119">
        <f t="shared" si="29"/>
        <v>0.55125000000000002</v>
      </c>
    </row>
    <row r="220" spans="2:9" x14ac:dyDescent="0.25">
      <c r="C220" s="69"/>
      <c r="D220" s="7" t="s">
        <v>132</v>
      </c>
      <c r="E220" s="114">
        <v>12</v>
      </c>
      <c r="F220" s="114">
        <v>10</v>
      </c>
      <c r="G220" s="70"/>
      <c r="H220" s="65">
        <v>27</v>
      </c>
      <c r="I220" s="119">
        <f t="shared" si="29"/>
        <v>0.32400000000000001</v>
      </c>
    </row>
    <row r="221" spans="2:9" x14ac:dyDescent="0.25">
      <c r="C221" s="69"/>
      <c r="D221" s="7" t="s">
        <v>133</v>
      </c>
      <c r="E221" s="114">
        <v>2.5</v>
      </c>
      <c r="F221" s="114">
        <v>2.5</v>
      </c>
      <c r="G221" s="70"/>
      <c r="H221" s="65">
        <v>210</v>
      </c>
      <c r="I221" s="119">
        <f t="shared" si="29"/>
        <v>0.52500000000000002</v>
      </c>
    </row>
    <row r="222" spans="2:9" x14ac:dyDescent="0.25">
      <c r="C222" s="69"/>
      <c r="D222" s="7" t="s">
        <v>125</v>
      </c>
      <c r="E222" s="114">
        <v>5</v>
      </c>
      <c r="F222" s="114">
        <v>5</v>
      </c>
      <c r="G222" s="70"/>
      <c r="H222" s="65">
        <v>163</v>
      </c>
      <c r="I222" s="119">
        <f t="shared" si="29"/>
        <v>0.81500000000000006</v>
      </c>
    </row>
    <row r="223" spans="2:9" x14ac:dyDescent="0.25">
      <c r="C223" s="69"/>
      <c r="D223" s="7" t="s">
        <v>134</v>
      </c>
      <c r="E223" s="114">
        <v>200</v>
      </c>
      <c r="F223" s="114">
        <v>200</v>
      </c>
      <c r="G223" s="70"/>
      <c r="I223" s="119">
        <f t="shared" si="29"/>
        <v>0</v>
      </c>
    </row>
    <row r="224" spans="2:9" x14ac:dyDescent="0.25">
      <c r="C224" s="69"/>
      <c r="D224" s="7" t="s">
        <v>135</v>
      </c>
      <c r="E224" s="114">
        <v>200</v>
      </c>
      <c r="F224" s="114">
        <v>200</v>
      </c>
      <c r="G224" s="70"/>
      <c r="I224" s="119">
        <f t="shared" si="29"/>
        <v>0</v>
      </c>
    </row>
    <row r="225" spans="2:9" x14ac:dyDescent="0.25">
      <c r="C225" s="69"/>
      <c r="D225" s="7" t="s">
        <v>136</v>
      </c>
      <c r="E225" s="114">
        <v>200</v>
      </c>
      <c r="F225" s="114">
        <v>200</v>
      </c>
      <c r="G225" s="70"/>
      <c r="I225" s="119">
        <f t="shared" si="29"/>
        <v>0</v>
      </c>
    </row>
    <row r="226" spans="2:9" x14ac:dyDescent="0.25">
      <c r="C226" s="69"/>
      <c r="D226" s="56" t="s">
        <v>23</v>
      </c>
      <c r="E226" s="217">
        <v>250</v>
      </c>
      <c r="F226" s="217"/>
      <c r="G226" s="70"/>
      <c r="I226" s="99">
        <f>SUM(I217:I225)</f>
        <v>6.2277500000000012</v>
      </c>
    </row>
    <row r="227" spans="2:9" x14ac:dyDescent="0.25">
      <c r="D227" s="74"/>
      <c r="E227" s="74"/>
      <c r="F227" s="74"/>
    </row>
    <row r="228" spans="2:9" x14ac:dyDescent="0.25">
      <c r="B228" s="89" t="s">
        <v>194</v>
      </c>
      <c r="C228" s="69">
        <v>180</v>
      </c>
      <c r="D228" s="7" t="s">
        <v>166</v>
      </c>
      <c r="E228" s="19">
        <v>61.2</v>
      </c>
      <c r="F228" s="19">
        <v>61.2</v>
      </c>
      <c r="G228" s="70"/>
      <c r="H228" s="65">
        <v>59</v>
      </c>
      <c r="I228" s="119">
        <f t="shared" ref="I228:I231" si="30">H228/1000*E228</f>
        <v>3.6107999999999998</v>
      </c>
    </row>
    <row r="229" spans="2:9" x14ac:dyDescent="0.25">
      <c r="C229" s="69"/>
      <c r="D229" s="7" t="s">
        <v>22</v>
      </c>
      <c r="E229" s="19">
        <v>8.15</v>
      </c>
      <c r="F229" s="19">
        <v>8.15</v>
      </c>
      <c r="G229" s="70"/>
      <c r="H229" s="65">
        <v>990</v>
      </c>
      <c r="I229" s="119">
        <f t="shared" si="30"/>
        <v>8.0685000000000002</v>
      </c>
    </row>
    <row r="230" spans="2:9" x14ac:dyDescent="0.25">
      <c r="C230" s="69"/>
      <c r="D230" s="7" t="s">
        <v>34</v>
      </c>
      <c r="E230" s="19">
        <v>0.59</v>
      </c>
      <c r="F230" s="19">
        <v>0.59</v>
      </c>
      <c r="G230" s="70"/>
      <c r="H230" s="65">
        <v>20</v>
      </c>
      <c r="I230" s="119">
        <f t="shared" si="30"/>
        <v>1.18E-2</v>
      </c>
    </row>
    <row r="231" spans="2:9" x14ac:dyDescent="0.25">
      <c r="C231" s="69"/>
      <c r="D231" s="7" t="s">
        <v>32</v>
      </c>
      <c r="E231" s="19">
        <v>367.2</v>
      </c>
      <c r="F231" s="19">
        <v>367.2</v>
      </c>
      <c r="G231" s="70"/>
      <c r="I231" s="119">
        <f t="shared" si="30"/>
        <v>0</v>
      </c>
    </row>
    <row r="232" spans="2:9" x14ac:dyDescent="0.25">
      <c r="C232" s="69"/>
      <c r="D232" s="56" t="s">
        <v>156</v>
      </c>
      <c r="E232" s="19" t="s">
        <v>35</v>
      </c>
      <c r="F232" s="19" t="s">
        <v>35</v>
      </c>
      <c r="G232" s="70"/>
      <c r="I232" s="99">
        <f>SUM(I228:I231)</f>
        <v>11.691099999999999</v>
      </c>
    </row>
    <row r="233" spans="2:9" x14ac:dyDescent="0.25">
      <c r="D233" s="72"/>
      <c r="E233" s="72"/>
      <c r="F233" s="72"/>
    </row>
    <row r="234" spans="2:9" x14ac:dyDescent="0.25">
      <c r="B234" s="65" t="s">
        <v>195</v>
      </c>
      <c r="C234" s="65">
        <v>100</v>
      </c>
      <c r="D234" s="77" t="s">
        <v>197</v>
      </c>
      <c r="E234" s="80">
        <v>131</v>
      </c>
      <c r="F234" s="80">
        <v>112</v>
      </c>
      <c r="H234" s="65">
        <v>185</v>
      </c>
      <c r="I234" s="119">
        <f t="shared" ref="I234:I236" si="31">H234/1000*E234</f>
        <v>24.234999999999999</v>
      </c>
    </row>
    <row r="235" spans="2:9" x14ac:dyDescent="0.25">
      <c r="D235" s="75" t="s">
        <v>180</v>
      </c>
      <c r="E235" s="81">
        <v>2</v>
      </c>
      <c r="F235" s="81">
        <v>2</v>
      </c>
      <c r="H235" s="65">
        <v>228</v>
      </c>
      <c r="I235" s="119">
        <f t="shared" si="31"/>
        <v>0.45600000000000002</v>
      </c>
    </row>
    <row r="236" spans="2:9" x14ac:dyDescent="0.25">
      <c r="D236" s="78" t="s">
        <v>142</v>
      </c>
      <c r="E236" s="82">
        <v>0.5</v>
      </c>
      <c r="F236" s="82">
        <v>0.5</v>
      </c>
      <c r="H236" s="65">
        <v>20</v>
      </c>
      <c r="I236" s="119">
        <f t="shared" si="31"/>
        <v>0.01</v>
      </c>
    </row>
    <row r="237" spans="2:9" x14ac:dyDescent="0.25">
      <c r="D237" s="79" t="s">
        <v>112</v>
      </c>
      <c r="E237" s="79" t="s">
        <v>35</v>
      </c>
      <c r="F237" s="83">
        <v>100</v>
      </c>
      <c r="I237" s="99">
        <f>I234+I235+I236</f>
        <v>24.701000000000001</v>
      </c>
    </row>
    <row r="239" spans="2:9" ht="25.5" x14ac:dyDescent="0.25">
      <c r="B239" s="65" t="s">
        <v>184</v>
      </c>
      <c r="C239" s="69">
        <v>200</v>
      </c>
      <c r="D239" s="7" t="s">
        <v>183</v>
      </c>
      <c r="E239" s="114">
        <v>24</v>
      </c>
      <c r="F239" s="114">
        <v>24</v>
      </c>
      <c r="G239" s="70"/>
      <c r="H239" s="65">
        <v>209.09</v>
      </c>
      <c r="I239" s="46">
        <f t="shared" ref="I239:I241" si="32">H239/1000*E239</f>
        <v>5.01816</v>
      </c>
    </row>
    <row r="240" spans="2:9" x14ac:dyDescent="0.25">
      <c r="C240" s="69"/>
      <c r="D240" s="7" t="s">
        <v>33</v>
      </c>
      <c r="E240" s="114">
        <v>10</v>
      </c>
      <c r="F240" s="114">
        <v>10</v>
      </c>
      <c r="G240" s="70"/>
      <c r="H240" s="65">
        <v>80</v>
      </c>
      <c r="I240" s="46">
        <f t="shared" si="32"/>
        <v>0.8</v>
      </c>
    </row>
    <row r="241" spans="1:9" x14ac:dyDescent="0.25">
      <c r="C241" s="69"/>
      <c r="D241" s="7" t="s">
        <v>32</v>
      </c>
      <c r="E241" s="114">
        <v>190</v>
      </c>
      <c r="F241" s="114">
        <v>190</v>
      </c>
      <c r="G241" s="70"/>
      <c r="I241" s="46">
        <f t="shared" si="32"/>
        <v>0</v>
      </c>
    </row>
    <row r="242" spans="1:9" x14ac:dyDescent="0.25">
      <c r="C242" s="69"/>
      <c r="D242" s="56" t="s">
        <v>154</v>
      </c>
      <c r="E242" s="114" t="s">
        <v>35</v>
      </c>
      <c r="F242" s="114" t="s">
        <v>35</v>
      </c>
      <c r="G242" s="70"/>
      <c r="I242" s="99">
        <f>SUM(I239:I241)</f>
        <v>5.8181599999999998</v>
      </c>
    </row>
    <row r="244" spans="1:9" x14ac:dyDescent="0.25">
      <c r="B244" s="65" t="s">
        <v>90</v>
      </c>
      <c r="C244" s="65">
        <v>30</v>
      </c>
      <c r="E244" s="65">
        <v>30</v>
      </c>
      <c r="H244" s="65">
        <v>55.1</v>
      </c>
      <c r="I244" s="99">
        <f t="shared" ref="I244:I245" si="33">H244/1000*E244</f>
        <v>1.653</v>
      </c>
    </row>
    <row r="245" spans="1:9" x14ac:dyDescent="0.25">
      <c r="B245" s="65" t="s">
        <v>145</v>
      </c>
      <c r="C245" s="65">
        <v>40</v>
      </c>
      <c r="E245" s="65">
        <v>40</v>
      </c>
      <c r="H245" s="65">
        <v>35.9</v>
      </c>
      <c r="I245" s="99">
        <f t="shared" si="33"/>
        <v>1.4359999999999999</v>
      </c>
    </row>
    <row r="247" spans="1:9" s="102" customFormat="1" x14ac:dyDescent="0.25">
      <c r="A247" s="15" t="s">
        <v>200</v>
      </c>
      <c r="B247" s="101"/>
      <c r="C247" s="101"/>
      <c r="D247" s="101"/>
      <c r="E247" s="101"/>
      <c r="F247" s="101"/>
      <c r="G247" s="101"/>
      <c r="H247" s="101"/>
      <c r="I247" s="103">
        <f>I248+I264+I271+I288+I290+I292+I294</f>
        <v>100.12159</v>
      </c>
    </row>
    <row r="248" spans="1:9" x14ac:dyDescent="0.25">
      <c r="B248" s="65" t="s">
        <v>171</v>
      </c>
      <c r="C248" s="65">
        <v>100</v>
      </c>
      <c r="D248" s="65" t="s">
        <v>171</v>
      </c>
      <c r="E248" s="65">
        <v>100</v>
      </c>
      <c r="H248" s="5">
        <v>60</v>
      </c>
      <c r="I248" s="51">
        <f t="shared" ref="I248" si="34">H248/1000*E248</f>
        <v>6</v>
      </c>
    </row>
    <row r="249" spans="1:9" x14ac:dyDescent="0.25">
      <c r="D249" s="71"/>
      <c r="E249" s="71"/>
      <c r="F249" s="71"/>
    </row>
    <row r="250" spans="1:9" x14ac:dyDescent="0.25">
      <c r="B250" s="65" t="s">
        <v>229</v>
      </c>
      <c r="C250" s="69">
        <v>250</v>
      </c>
      <c r="D250" s="107" t="s">
        <v>228</v>
      </c>
      <c r="E250" s="107"/>
      <c r="F250" s="107"/>
      <c r="G250" s="70"/>
    </row>
    <row r="251" spans="1:9" x14ac:dyDescent="0.25">
      <c r="C251" s="69"/>
      <c r="D251" s="107" t="s">
        <v>230</v>
      </c>
      <c r="E251" s="107">
        <v>77.02</v>
      </c>
      <c r="F251" s="107">
        <v>50</v>
      </c>
      <c r="G251" s="70"/>
      <c r="H251" s="65">
        <v>30</v>
      </c>
      <c r="I251" s="46">
        <f t="shared" ref="I251:I263" si="35">H251/1000*E251</f>
        <v>2.3106</v>
      </c>
    </row>
    <row r="252" spans="1:9" x14ac:dyDescent="0.25">
      <c r="C252" s="69"/>
      <c r="D252" s="107" t="s">
        <v>231</v>
      </c>
      <c r="E252" s="107">
        <v>83.51</v>
      </c>
      <c r="F252" s="107">
        <v>50</v>
      </c>
      <c r="G252" s="70"/>
      <c r="H252" s="65">
        <v>30</v>
      </c>
      <c r="I252" s="46"/>
    </row>
    <row r="253" spans="1:9" x14ac:dyDescent="0.25">
      <c r="C253" s="69"/>
      <c r="D253" s="107" t="s">
        <v>232</v>
      </c>
      <c r="E253" s="107">
        <v>67.28</v>
      </c>
      <c r="F253" s="107">
        <v>50</v>
      </c>
      <c r="G253" s="70"/>
      <c r="H253" s="65">
        <v>30</v>
      </c>
      <c r="I253" s="46"/>
    </row>
    <row r="254" spans="1:9" x14ac:dyDescent="0.25">
      <c r="C254" s="69"/>
      <c r="D254" s="107" t="s">
        <v>233</v>
      </c>
      <c r="E254" s="107">
        <v>66.540000000000006</v>
      </c>
      <c r="F254" s="107">
        <v>50</v>
      </c>
      <c r="G254" s="70"/>
      <c r="H254" s="65">
        <v>30</v>
      </c>
      <c r="I254" s="46"/>
    </row>
    <row r="255" spans="1:9" x14ac:dyDescent="0.25">
      <c r="C255" s="69"/>
      <c r="D255" s="107" t="s">
        <v>234</v>
      </c>
      <c r="E255" s="107">
        <v>73.61</v>
      </c>
      <c r="F255" s="107">
        <v>50</v>
      </c>
      <c r="G255" s="70"/>
      <c r="H255" s="65">
        <v>30</v>
      </c>
      <c r="I255" s="46"/>
    </row>
    <row r="256" spans="1:9" x14ac:dyDescent="0.25">
      <c r="C256" s="69"/>
      <c r="D256" s="107" t="s">
        <v>235</v>
      </c>
      <c r="E256" s="107">
        <v>10</v>
      </c>
      <c r="F256" s="107">
        <v>10</v>
      </c>
      <c r="G256" s="70"/>
      <c r="H256" s="65">
        <v>80</v>
      </c>
      <c r="I256" s="46">
        <f t="shared" si="35"/>
        <v>0.8</v>
      </c>
    </row>
    <row r="257" spans="2:9" x14ac:dyDescent="0.25">
      <c r="C257" s="69"/>
      <c r="D257" s="107" t="s">
        <v>236</v>
      </c>
      <c r="E257" s="107"/>
      <c r="F257" s="107"/>
      <c r="G257" s="70"/>
      <c r="I257" s="46">
        <f t="shared" si="35"/>
        <v>0</v>
      </c>
    </row>
    <row r="258" spans="2:9" x14ac:dyDescent="0.25">
      <c r="C258" s="69"/>
      <c r="D258" s="107" t="s">
        <v>237</v>
      </c>
      <c r="E258" s="107">
        <v>13.5</v>
      </c>
      <c r="F258" s="107">
        <v>10</v>
      </c>
      <c r="G258" s="70"/>
      <c r="H258" s="65">
        <v>35</v>
      </c>
      <c r="I258" s="46">
        <f t="shared" si="35"/>
        <v>0.47250000000000003</v>
      </c>
    </row>
    <row r="259" spans="2:9" x14ac:dyDescent="0.25">
      <c r="C259" s="69"/>
      <c r="D259" s="107" t="s">
        <v>238</v>
      </c>
      <c r="E259" s="107">
        <v>12.6</v>
      </c>
      <c r="F259" s="107">
        <v>10</v>
      </c>
      <c r="G259" s="70"/>
      <c r="H259" s="65">
        <v>35</v>
      </c>
      <c r="I259" s="46"/>
    </row>
    <row r="260" spans="2:9" x14ac:dyDescent="0.25">
      <c r="C260" s="69"/>
      <c r="D260" s="107" t="s">
        <v>239</v>
      </c>
      <c r="E260" s="107">
        <v>11.67</v>
      </c>
      <c r="F260" s="107">
        <v>10</v>
      </c>
      <c r="G260" s="70"/>
      <c r="H260" s="65">
        <v>27</v>
      </c>
      <c r="I260" s="46">
        <f t="shared" si="35"/>
        <v>0.31508999999999998</v>
      </c>
    </row>
    <row r="261" spans="2:9" x14ac:dyDescent="0.25">
      <c r="C261" s="69"/>
      <c r="D261" s="107" t="s">
        <v>240</v>
      </c>
      <c r="E261" s="107">
        <v>2.5</v>
      </c>
      <c r="F261" s="107">
        <v>2.5</v>
      </c>
      <c r="G261" s="70"/>
      <c r="H261" s="65">
        <v>163</v>
      </c>
      <c r="I261" s="46">
        <f t="shared" si="35"/>
        <v>0.40750000000000003</v>
      </c>
    </row>
    <row r="262" spans="2:9" x14ac:dyDescent="0.25">
      <c r="C262" s="69"/>
      <c r="D262" s="107" t="s">
        <v>241</v>
      </c>
      <c r="E262" s="107">
        <v>212.5</v>
      </c>
      <c r="F262" s="107">
        <v>212.5</v>
      </c>
      <c r="G262" s="70"/>
      <c r="I262" s="46">
        <f t="shared" si="35"/>
        <v>0</v>
      </c>
    </row>
    <row r="263" spans="2:9" x14ac:dyDescent="0.25">
      <c r="C263" s="69"/>
      <c r="D263" s="107" t="s">
        <v>242</v>
      </c>
      <c r="E263" s="107">
        <v>2</v>
      </c>
      <c r="F263" s="107">
        <v>2</v>
      </c>
      <c r="G263" s="70"/>
      <c r="H263" s="65">
        <v>20</v>
      </c>
      <c r="I263" s="46">
        <f t="shared" si="35"/>
        <v>0.04</v>
      </c>
    </row>
    <row r="264" spans="2:9" x14ac:dyDescent="0.25">
      <c r="C264" s="69"/>
      <c r="D264" s="107" t="s">
        <v>192</v>
      </c>
      <c r="E264" s="107"/>
      <c r="F264" s="107"/>
      <c r="G264" s="70"/>
      <c r="I264" s="99">
        <f>SUM(I251:I263)</f>
        <v>4.3456900000000003</v>
      </c>
    </row>
    <row r="265" spans="2:9" x14ac:dyDescent="0.25">
      <c r="C265" s="69"/>
      <c r="D265" s="56"/>
      <c r="E265" s="19"/>
      <c r="F265" s="19"/>
      <c r="G265" s="70"/>
      <c r="I265" s="99"/>
    </row>
    <row r="266" spans="2:9" x14ac:dyDescent="0.25">
      <c r="D266" s="74"/>
      <c r="E266" s="74"/>
      <c r="F266" s="74"/>
    </row>
    <row r="267" spans="2:9" x14ac:dyDescent="0.25">
      <c r="B267" s="73" t="s">
        <v>176</v>
      </c>
      <c r="C267" s="69">
        <v>180</v>
      </c>
      <c r="D267" s="7" t="s">
        <v>130</v>
      </c>
      <c r="E267" s="19">
        <v>205.69</v>
      </c>
      <c r="F267" s="19">
        <v>151.19999999999999</v>
      </c>
      <c r="G267" s="70"/>
      <c r="H267" s="65">
        <v>30</v>
      </c>
      <c r="I267" s="46">
        <f t="shared" ref="I267:I270" si="36">H267/1000*E267</f>
        <v>6.1707000000000001</v>
      </c>
    </row>
    <row r="268" spans="2:9" x14ac:dyDescent="0.25">
      <c r="C268" s="69"/>
      <c r="D268" s="7" t="s">
        <v>31</v>
      </c>
      <c r="E268" s="19">
        <v>28.8</v>
      </c>
      <c r="F268" s="19">
        <v>28.8</v>
      </c>
      <c r="G268" s="70"/>
      <c r="H268" s="65">
        <v>69</v>
      </c>
      <c r="I268" s="46">
        <f t="shared" si="36"/>
        <v>1.9872000000000003</v>
      </c>
    </row>
    <row r="269" spans="2:9" x14ac:dyDescent="0.25">
      <c r="C269" s="69"/>
      <c r="D269" s="7" t="s">
        <v>22</v>
      </c>
      <c r="E269" s="19">
        <v>8.15</v>
      </c>
      <c r="F269" s="19">
        <v>8.15</v>
      </c>
      <c r="G269" s="70"/>
      <c r="H269" s="65">
        <v>990</v>
      </c>
      <c r="I269" s="46">
        <f t="shared" si="36"/>
        <v>8.0685000000000002</v>
      </c>
    </row>
    <row r="270" spans="2:9" x14ac:dyDescent="0.25">
      <c r="C270" s="69"/>
      <c r="D270" s="7" t="s">
        <v>34</v>
      </c>
      <c r="E270" s="19">
        <v>0.59</v>
      </c>
      <c r="F270" s="19">
        <v>0.59</v>
      </c>
      <c r="G270" s="70"/>
      <c r="H270" s="65">
        <v>20</v>
      </c>
      <c r="I270" s="46">
        <f t="shared" si="36"/>
        <v>1.18E-2</v>
      </c>
    </row>
    <row r="271" spans="2:9" x14ac:dyDescent="0.25">
      <c r="C271" s="69"/>
      <c r="D271" s="56" t="s">
        <v>156</v>
      </c>
      <c r="E271" s="19" t="s">
        <v>35</v>
      </c>
      <c r="F271" s="19" t="s">
        <v>35</v>
      </c>
      <c r="G271" s="70"/>
      <c r="I271" s="99">
        <f>SUM(I267:I270)</f>
        <v>16.238199999999999</v>
      </c>
    </row>
    <row r="273" spans="2:9" x14ac:dyDescent="0.25">
      <c r="B273" s="65" t="s">
        <v>212</v>
      </c>
      <c r="C273" s="65" t="s">
        <v>208</v>
      </c>
      <c r="D273" s="77" t="s">
        <v>190</v>
      </c>
      <c r="E273" s="80">
        <v>86</v>
      </c>
      <c r="F273" s="80">
        <v>64</v>
      </c>
      <c r="H273" s="65">
        <v>614</v>
      </c>
      <c r="I273" s="119">
        <f t="shared" ref="I273:I287" si="37">H273/1000*E273</f>
        <v>52.804000000000002</v>
      </c>
    </row>
    <row r="274" spans="2:9" x14ac:dyDescent="0.25">
      <c r="C274" s="69"/>
      <c r="D274" s="7" t="s">
        <v>310</v>
      </c>
      <c r="E274" s="182">
        <v>87.5</v>
      </c>
      <c r="F274" s="182"/>
      <c r="G274" s="70"/>
      <c r="H274" s="65">
        <v>398</v>
      </c>
    </row>
    <row r="275" spans="2:9" x14ac:dyDescent="0.25">
      <c r="D275" s="75" t="s">
        <v>209</v>
      </c>
      <c r="E275" s="81">
        <v>10</v>
      </c>
      <c r="F275" s="81">
        <v>10</v>
      </c>
      <c r="I275" s="46">
        <f t="shared" si="37"/>
        <v>0</v>
      </c>
    </row>
    <row r="276" spans="2:9" x14ac:dyDescent="0.25">
      <c r="D276" s="75" t="s">
        <v>29</v>
      </c>
      <c r="E276" s="81">
        <v>9</v>
      </c>
      <c r="F276" s="81">
        <v>9</v>
      </c>
      <c r="H276" s="65">
        <v>94</v>
      </c>
      <c r="I276" s="46">
        <f t="shared" si="37"/>
        <v>0.84599999999999997</v>
      </c>
    </row>
    <row r="277" spans="2:9" x14ac:dyDescent="0.25">
      <c r="D277" s="75" t="s">
        <v>132</v>
      </c>
      <c r="E277" s="81">
        <v>35</v>
      </c>
      <c r="F277" s="81">
        <v>29</v>
      </c>
      <c r="H277" s="65">
        <v>27</v>
      </c>
      <c r="I277" s="46">
        <f t="shared" si="37"/>
        <v>0.94499999999999995</v>
      </c>
    </row>
    <row r="278" spans="2:9" x14ac:dyDescent="0.25">
      <c r="D278" s="75" t="s">
        <v>125</v>
      </c>
      <c r="E278" s="85">
        <v>5</v>
      </c>
      <c r="F278" s="81">
        <v>5</v>
      </c>
      <c r="H278" s="65">
        <v>163</v>
      </c>
      <c r="I278" s="46">
        <f t="shared" si="37"/>
        <v>0.81500000000000006</v>
      </c>
    </row>
    <row r="279" spans="2:9" x14ac:dyDescent="0.25">
      <c r="D279" s="75" t="s">
        <v>203</v>
      </c>
      <c r="E279" s="81">
        <v>6</v>
      </c>
      <c r="F279" s="81">
        <v>6</v>
      </c>
      <c r="H279" s="65">
        <v>39</v>
      </c>
      <c r="I279" s="46">
        <f t="shared" si="37"/>
        <v>0.23399999999999999</v>
      </c>
    </row>
    <row r="280" spans="2:9" x14ac:dyDescent="0.25">
      <c r="D280" s="105" t="s">
        <v>210</v>
      </c>
      <c r="E280" s="81"/>
      <c r="F280" s="81"/>
      <c r="I280" s="46">
        <f t="shared" si="37"/>
        <v>0</v>
      </c>
    </row>
    <row r="281" spans="2:9" x14ac:dyDescent="0.25">
      <c r="D281" s="75" t="s">
        <v>180</v>
      </c>
      <c r="E281" s="81">
        <v>4.5</v>
      </c>
      <c r="F281" s="81">
        <v>4.5</v>
      </c>
      <c r="H281" s="65">
        <v>228</v>
      </c>
      <c r="I281" s="46">
        <f t="shared" si="37"/>
        <v>1.026</v>
      </c>
    </row>
    <row r="282" spans="2:9" x14ac:dyDescent="0.25">
      <c r="D282" s="75" t="s">
        <v>203</v>
      </c>
      <c r="E282" s="81">
        <v>1.3</v>
      </c>
      <c r="F282" s="81">
        <v>1.3</v>
      </c>
      <c r="H282" s="65">
        <v>39</v>
      </c>
      <c r="I282" s="46">
        <f t="shared" si="37"/>
        <v>5.0700000000000002E-2</v>
      </c>
    </row>
    <row r="283" spans="2:9" x14ac:dyDescent="0.25">
      <c r="D283" s="75" t="s">
        <v>32</v>
      </c>
      <c r="E283" s="81">
        <v>13.5</v>
      </c>
      <c r="F283" s="81">
        <v>13.5</v>
      </c>
      <c r="I283" s="46">
        <f t="shared" si="37"/>
        <v>0</v>
      </c>
    </row>
    <row r="284" spans="2:9" x14ac:dyDescent="0.25">
      <c r="D284" s="75" t="s">
        <v>132</v>
      </c>
      <c r="E284" s="81">
        <v>5</v>
      </c>
      <c r="F284" s="81">
        <v>4</v>
      </c>
      <c r="H284" s="65">
        <v>20</v>
      </c>
      <c r="I284" s="46">
        <f t="shared" si="37"/>
        <v>0.1</v>
      </c>
    </row>
    <row r="285" spans="2:9" x14ac:dyDescent="0.25">
      <c r="D285" s="75" t="s">
        <v>22</v>
      </c>
      <c r="E285" s="81">
        <v>0.4</v>
      </c>
      <c r="F285" s="81">
        <v>0.4</v>
      </c>
      <c r="H285" s="65">
        <v>990</v>
      </c>
      <c r="I285" s="46">
        <f t="shared" si="37"/>
        <v>0.39600000000000002</v>
      </c>
    </row>
    <row r="286" spans="2:9" x14ac:dyDescent="0.25">
      <c r="D286" s="75" t="s">
        <v>142</v>
      </c>
      <c r="E286" s="81">
        <v>0.6</v>
      </c>
      <c r="F286" s="81">
        <v>0.6</v>
      </c>
      <c r="H286" s="65">
        <v>20</v>
      </c>
      <c r="I286" s="46">
        <f t="shared" si="37"/>
        <v>1.2E-2</v>
      </c>
    </row>
    <row r="287" spans="2:9" x14ac:dyDescent="0.25">
      <c r="D287" s="78" t="s">
        <v>211</v>
      </c>
      <c r="E287" s="93">
        <v>2</v>
      </c>
      <c r="F287" s="93">
        <v>2</v>
      </c>
      <c r="H287" s="65">
        <v>210</v>
      </c>
      <c r="I287" s="46">
        <f t="shared" si="37"/>
        <v>0.42</v>
      </c>
    </row>
    <row r="288" spans="2:9" x14ac:dyDescent="0.25">
      <c r="D288" s="79" t="s">
        <v>112</v>
      </c>
      <c r="E288" s="79" t="s">
        <v>35</v>
      </c>
      <c r="F288" s="79" t="s">
        <v>208</v>
      </c>
      <c r="I288" s="99">
        <f>SUM(I273:I287)</f>
        <v>57.648700000000005</v>
      </c>
    </row>
    <row r="289" spans="1:9" x14ac:dyDescent="0.25">
      <c r="D289" s="72"/>
      <c r="E289" s="72"/>
      <c r="F289" s="72"/>
    </row>
    <row r="290" spans="1:9" x14ac:dyDescent="0.25">
      <c r="B290" s="65" t="s">
        <v>143</v>
      </c>
      <c r="C290" s="65">
        <v>200</v>
      </c>
      <c r="E290" s="65">
        <v>200</v>
      </c>
      <c r="F290" s="65">
        <v>200</v>
      </c>
      <c r="H290" s="65">
        <v>64</v>
      </c>
      <c r="I290" s="99">
        <f>H290/1000*E290</f>
        <v>12.8</v>
      </c>
    </row>
    <row r="291" spans="1:9" x14ac:dyDescent="0.25">
      <c r="B291" s="5"/>
      <c r="C291" s="9"/>
      <c r="D291" s="47"/>
      <c r="E291" s="48"/>
      <c r="F291" s="49"/>
      <c r="G291" s="50"/>
      <c r="H291" s="49"/>
      <c r="I291" s="52"/>
    </row>
    <row r="292" spans="1:9" x14ac:dyDescent="0.25">
      <c r="B292" s="5" t="s">
        <v>90</v>
      </c>
      <c r="C292" s="8">
        <v>30</v>
      </c>
      <c r="D292" s="5" t="s">
        <v>90</v>
      </c>
      <c r="E292" s="8">
        <v>30</v>
      </c>
      <c r="F292" s="5"/>
      <c r="G292" s="5"/>
      <c r="H292" s="5">
        <v>55.1</v>
      </c>
      <c r="I292" s="51">
        <f t="shared" ref="I292" si="38">H292/1000*E292</f>
        <v>1.653</v>
      </c>
    </row>
    <row r="293" spans="1:9" x14ac:dyDescent="0.25">
      <c r="I293" s="51"/>
    </row>
    <row r="294" spans="1:9" x14ac:dyDescent="0.25">
      <c r="B294" s="65" t="s">
        <v>145</v>
      </c>
      <c r="C294" s="65">
        <v>40</v>
      </c>
      <c r="D294" s="65" t="s">
        <v>145</v>
      </c>
      <c r="E294" s="65">
        <v>40</v>
      </c>
      <c r="H294" s="65">
        <v>35.9</v>
      </c>
      <c r="I294" s="51">
        <f t="shared" ref="I294" si="39">H294/1000*E294</f>
        <v>1.4359999999999999</v>
      </c>
    </row>
    <row r="296" spans="1:9" s="102" customFormat="1" x14ac:dyDescent="0.25">
      <c r="A296" s="15" t="s">
        <v>198</v>
      </c>
      <c r="B296" s="101"/>
      <c r="C296" s="101"/>
      <c r="D296" s="104"/>
      <c r="E296" s="104"/>
      <c r="F296" s="104"/>
      <c r="G296" s="101"/>
      <c r="H296" s="101"/>
      <c r="I296" s="103">
        <f>I300+I312+I324+I330+I333+I335</f>
        <v>52.077199999999998</v>
      </c>
    </row>
    <row r="297" spans="1:9" ht="27.75" customHeight="1" x14ac:dyDescent="0.25">
      <c r="B297" s="66" t="s">
        <v>127</v>
      </c>
      <c r="C297" s="65">
        <v>100</v>
      </c>
      <c r="D297" s="58" t="s">
        <v>123</v>
      </c>
      <c r="E297" s="59">
        <v>94</v>
      </c>
      <c r="F297" s="59">
        <v>94</v>
      </c>
    </row>
    <row r="298" spans="1:9" x14ac:dyDescent="0.25">
      <c r="D298" s="60" t="s">
        <v>124</v>
      </c>
      <c r="E298" s="59">
        <v>117.5</v>
      </c>
      <c r="F298" s="59">
        <v>94</v>
      </c>
      <c r="H298" s="65">
        <v>35</v>
      </c>
      <c r="I298" s="119">
        <f>H298/1000*E298</f>
        <v>4.1125000000000007</v>
      </c>
    </row>
    <row r="299" spans="1:9" x14ac:dyDescent="0.25">
      <c r="D299" s="58" t="s">
        <v>125</v>
      </c>
      <c r="E299" s="59">
        <v>7</v>
      </c>
      <c r="F299" s="59">
        <v>7</v>
      </c>
      <c r="H299" s="65">
        <v>163</v>
      </c>
      <c r="I299" s="119">
        <f>H299/1000*E299</f>
        <v>1.141</v>
      </c>
    </row>
    <row r="300" spans="1:9" x14ac:dyDescent="0.25">
      <c r="D300" s="61" t="s">
        <v>126</v>
      </c>
      <c r="E300" s="62"/>
      <c r="F300" s="62">
        <v>100</v>
      </c>
      <c r="I300" s="99">
        <f>I298+I299</f>
        <v>5.2535000000000007</v>
      </c>
    </row>
    <row r="301" spans="1:9" x14ac:dyDescent="0.25">
      <c r="D301" s="74"/>
      <c r="E301" s="74"/>
      <c r="F301" s="74"/>
    </row>
    <row r="302" spans="1:9" x14ac:dyDescent="0.25">
      <c r="B302" s="73" t="s">
        <v>308</v>
      </c>
      <c r="C302" s="69"/>
      <c r="D302" s="7" t="s">
        <v>130</v>
      </c>
      <c r="E302" s="114">
        <v>85</v>
      </c>
      <c r="F302" s="114">
        <v>62.5</v>
      </c>
      <c r="G302" s="70"/>
      <c r="H302" s="65">
        <v>30</v>
      </c>
      <c r="I302" s="119">
        <f t="shared" ref="I302:I311" si="40">H302/1000*E302</f>
        <v>2.5499999999999998</v>
      </c>
    </row>
    <row r="303" spans="1:9" x14ac:dyDescent="0.25">
      <c r="C303" s="69"/>
      <c r="D303" s="7" t="s">
        <v>149</v>
      </c>
      <c r="E303" s="114">
        <v>20</v>
      </c>
      <c r="F303" s="114">
        <v>20</v>
      </c>
      <c r="G303" s="70"/>
      <c r="H303" s="65">
        <v>57</v>
      </c>
      <c r="I303" s="119">
        <f t="shared" si="40"/>
        <v>1.1400000000000001</v>
      </c>
    </row>
    <row r="304" spans="1:9" x14ac:dyDescent="0.25">
      <c r="C304" s="69"/>
      <c r="D304" s="7" t="s">
        <v>132</v>
      </c>
      <c r="E304" s="114">
        <v>12.5</v>
      </c>
      <c r="F304" s="114">
        <v>10</v>
      </c>
      <c r="G304" s="70"/>
      <c r="H304" s="65">
        <v>27</v>
      </c>
      <c r="I304" s="119">
        <f t="shared" si="40"/>
        <v>0.33750000000000002</v>
      </c>
    </row>
    <row r="305" spans="2:9" x14ac:dyDescent="0.25">
      <c r="C305" s="69"/>
      <c r="D305" s="7" t="s">
        <v>131</v>
      </c>
      <c r="E305" s="114">
        <v>12.5</v>
      </c>
      <c r="F305" s="114">
        <v>10</v>
      </c>
      <c r="G305" s="70"/>
      <c r="H305" s="65">
        <v>35</v>
      </c>
      <c r="I305" s="119">
        <f t="shared" si="40"/>
        <v>0.43750000000000006</v>
      </c>
    </row>
    <row r="306" spans="2:9" x14ac:dyDescent="0.25">
      <c r="C306" s="69"/>
      <c r="D306" s="7" t="s">
        <v>150</v>
      </c>
      <c r="E306" s="114">
        <v>3.13</v>
      </c>
      <c r="F306" s="114">
        <v>2.5</v>
      </c>
      <c r="G306" s="70"/>
      <c r="I306" s="119">
        <f t="shared" si="40"/>
        <v>0</v>
      </c>
    </row>
    <row r="307" spans="2:9" x14ac:dyDescent="0.25">
      <c r="C307" s="69"/>
      <c r="D307" s="7" t="s">
        <v>125</v>
      </c>
      <c r="E307" s="114">
        <v>5</v>
      </c>
      <c r="F307" s="114">
        <v>5</v>
      </c>
      <c r="G307" s="70"/>
      <c r="H307" s="65">
        <v>163</v>
      </c>
      <c r="I307" s="119">
        <f t="shared" si="40"/>
        <v>0.81500000000000006</v>
      </c>
    </row>
    <row r="308" spans="2:9" x14ac:dyDescent="0.25">
      <c r="C308" s="69"/>
      <c r="D308" s="7" t="s">
        <v>151</v>
      </c>
      <c r="E308" s="114">
        <v>0.05</v>
      </c>
      <c r="F308" s="114">
        <v>0.05</v>
      </c>
      <c r="G308" s="70"/>
      <c r="H308" s="65">
        <v>1000</v>
      </c>
      <c r="I308" s="119">
        <f t="shared" si="40"/>
        <v>0.05</v>
      </c>
    </row>
    <row r="309" spans="2:9" x14ac:dyDescent="0.25">
      <c r="C309" s="69"/>
      <c r="D309" s="7" t="s">
        <v>34</v>
      </c>
      <c r="E309" s="114">
        <v>0.38</v>
      </c>
      <c r="F309" s="114">
        <v>0.38</v>
      </c>
      <c r="G309" s="70"/>
      <c r="H309" s="65">
        <v>20</v>
      </c>
      <c r="I309" s="119">
        <f t="shared" si="40"/>
        <v>7.6E-3</v>
      </c>
    </row>
    <row r="310" spans="2:9" x14ac:dyDescent="0.25">
      <c r="C310" s="69"/>
      <c r="D310" s="7" t="s">
        <v>302</v>
      </c>
      <c r="E310" s="114">
        <v>162.5</v>
      </c>
      <c r="F310" s="114">
        <v>162.5</v>
      </c>
      <c r="G310" s="70"/>
      <c r="I310" s="119">
        <f t="shared" si="40"/>
        <v>0</v>
      </c>
    </row>
    <row r="311" spans="2:9" x14ac:dyDescent="0.25">
      <c r="C311" s="69"/>
      <c r="D311" s="7" t="s">
        <v>303</v>
      </c>
      <c r="E311" s="114">
        <v>162.5</v>
      </c>
      <c r="F311" s="114">
        <v>162.5</v>
      </c>
      <c r="G311" s="70"/>
      <c r="I311" s="119">
        <f t="shared" si="40"/>
        <v>0</v>
      </c>
    </row>
    <row r="312" spans="2:9" x14ac:dyDescent="0.25">
      <c r="C312" s="69"/>
      <c r="D312" s="56" t="s">
        <v>168</v>
      </c>
      <c r="E312" s="114" t="s">
        <v>35</v>
      </c>
      <c r="F312" s="114" t="s">
        <v>35</v>
      </c>
      <c r="G312" s="70"/>
      <c r="I312" s="99">
        <f>SUM(I302:I311)</f>
        <v>5.3376000000000001</v>
      </c>
    </row>
    <row r="313" spans="2:9" ht="15.75" customHeight="1" x14ac:dyDescent="0.25">
      <c r="C313" s="69"/>
      <c r="D313" s="136"/>
      <c r="E313" s="113"/>
      <c r="F313" s="113"/>
      <c r="G313" s="70"/>
    </row>
    <row r="314" spans="2:9" x14ac:dyDescent="0.25">
      <c r="B314" s="91" t="s">
        <v>202</v>
      </c>
      <c r="C314" s="69">
        <v>200</v>
      </c>
      <c r="D314" s="7" t="s">
        <v>170</v>
      </c>
      <c r="E314" s="19">
        <v>93.8</v>
      </c>
      <c r="F314" s="19">
        <v>83</v>
      </c>
      <c r="G314" s="70"/>
      <c r="H314" s="65">
        <v>270</v>
      </c>
      <c r="I314" s="46">
        <f t="shared" ref="I314:I323" si="41">H314/1000*E314</f>
        <v>25.326000000000001</v>
      </c>
    </row>
    <row r="315" spans="2:9" x14ac:dyDescent="0.25">
      <c r="C315" s="69"/>
      <c r="D315" s="7" t="s">
        <v>130</v>
      </c>
      <c r="E315" s="19">
        <v>123.8</v>
      </c>
      <c r="F315" s="19">
        <v>91</v>
      </c>
      <c r="G315" s="70"/>
      <c r="H315" s="65">
        <v>30</v>
      </c>
      <c r="I315" s="46">
        <f t="shared" si="41"/>
        <v>3.714</v>
      </c>
    </row>
    <row r="316" spans="2:9" x14ac:dyDescent="0.25">
      <c r="C316" s="69"/>
      <c r="D316" s="7" t="s">
        <v>203</v>
      </c>
      <c r="E316" s="19">
        <v>1.1000000000000001</v>
      </c>
      <c r="F316" s="19">
        <v>1.1000000000000001</v>
      </c>
      <c r="G316" s="70"/>
      <c r="H316" s="65">
        <v>39</v>
      </c>
      <c r="I316" s="46">
        <f t="shared" si="41"/>
        <v>4.2900000000000001E-2</v>
      </c>
    </row>
    <row r="317" spans="2:9" x14ac:dyDescent="0.25">
      <c r="C317" s="69"/>
      <c r="D317" s="7" t="s">
        <v>133</v>
      </c>
      <c r="E317" s="19">
        <v>7</v>
      </c>
      <c r="F317" s="19">
        <v>7</v>
      </c>
      <c r="G317" s="70"/>
      <c r="H317" s="65">
        <v>210</v>
      </c>
      <c r="I317" s="46">
        <f t="shared" si="41"/>
        <v>1.47</v>
      </c>
    </row>
    <row r="318" spans="2:9" x14ac:dyDescent="0.25">
      <c r="C318" s="69"/>
      <c r="D318" s="7" t="s">
        <v>132</v>
      </c>
      <c r="E318" s="19">
        <v>14.4</v>
      </c>
      <c r="F318" s="19">
        <v>11.5</v>
      </c>
      <c r="G318" s="70"/>
      <c r="H318" s="65">
        <v>27</v>
      </c>
      <c r="I318" s="46">
        <f t="shared" si="41"/>
        <v>0.38879999999999998</v>
      </c>
    </row>
    <row r="319" spans="2:9" x14ac:dyDescent="0.25">
      <c r="C319" s="69"/>
      <c r="D319" s="7" t="s">
        <v>131</v>
      </c>
      <c r="E319" s="19">
        <v>23.8</v>
      </c>
      <c r="F319" s="19">
        <v>19</v>
      </c>
      <c r="G319" s="70"/>
      <c r="H319" s="65">
        <v>35</v>
      </c>
      <c r="I319" s="46">
        <f t="shared" si="41"/>
        <v>0.83300000000000007</v>
      </c>
    </row>
    <row r="320" spans="2:9" x14ac:dyDescent="0.25">
      <c r="C320" s="69"/>
      <c r="D320" s="7" t="s">
        <v>201</v>
      </c>
      <c r="E320" s="19">
        <v>3.8</v>
      </c>
      <c r="F320" s="19">
        <v>3</v>
      </c>
      <c r="G320" s="70"/>
      <c r="H320" s="65">
        <v>350</v>
      </c>
      <c r="I320" s="46">
        <f t="shared" si="41"/>
        <v>1.3299999999999998</v>
      </c>
    </row>
    <row r="321" spans="2:9" x14ac:dyDescent="0.25">
      <c r="C321" s="69"/>
      <c r="D321" s="7" t="s">
        <v>125</v>
      </c>
      <c r="E321" s="19">
        <v>6</v>
      </c>
      <c r="F321" s="19">
        <v>6</v>
      </c>
      <c r="G321" s="70"/>
      <c r="H321" s="65">
        <v>163</v>
      </c>
      <c r="I321" s="46">
        <f t="shared" si="41"/>
        <v>0.97799999999999998</v>
      </c>
    </row>
    <row r="322" spans="2:9" x14ac:dyDescent="0.25">
      <c r="C322" s="69"/>
      <c r="D322" s="7" t="s">
        <v>151</v>
      </c>
      <c r="E322" s="19">
        <v>0.04</v>
      </c>
      <c r="F322" s="19">
        <v>0.04</v>
      </c>
      <c r="G322" s="70"/>
      <c r="H322" s="65">
        <v>1000</v>
      </c>
      <c r="I322" s="46">
        <f t="shared" si="41"/>
        <v>0.04</v>
      </c>
    </row>
    <row r="323" spans="2:9" x14ac:dyDescent="0.25">
      <c r="C323" s="69"/>
      <c r="D323" s="7" t="s">
        <v>34</v>
      </c>
      <c r="E323" s="19">
        <v>0.8</v>
      </c>
      <c r="F323" s="19">
        <v>0.8</v>
      </c>
      <c r="G323" s="70"/>
      <c r="H323" s="65">
        <v>20</v>
      </c>
      <c r="I323" s="46">
        <f t="shared" si="41"/>
        <v>1.6E-2</v>
      </c>
    </row>
    <row r="324" spans="2:9" x14ac:dyDescent="0.25">
      <c r="C324" s="69"/>
      <c r="D324" s="7"/>
      <c r="E324" s="184"/>
      <c r="F324" s="184"/>
      <c r="G324" s="70"/>
      <c r="I324" s="51">
        <f>SUM(I314:I323)</f>
        <v>34.138699999999993</v>
      </c>
    </row>
    <row r="325" spans="2:9" x14ac:dyDescent="0.25">
      <c r="C325" s="69"/>
      <c r="D325" s="7"/>
      <c r="E325" s="184"/>
      <c r="F325" s="184"/>
      <c r="G325" s="70"/>
      <c r="I325" s="46"/>
    </row>
    <row r="326" spans="2:9" ht="4.5" customHeight="1" x14ac:dyDescent="0.25">
      <c r="D326" s="72"/>
      <c r="E326" s="72"/>
      <c r="F326" s="72"/>
    </row>
    <row r="327" spans="2:9" x14ac:dyDescent="0.25">
      <c r="B327" s="73" t="s">
        <v>157</v>
      </c>
      <c r="C327" s="65">
        <v>200</v>
      </c>
      <c r="D327" s="7" t="s">
        <v>33</v>
      </c>
      <c r="E327" s="114">
        <v>7</v>
      </c>
      <c r="F327" s="114">
        <v>7</v>
      </c>
      <c r="G327" s="70"/>
      <c r="H327" s="65">
        <v>80</v>
      </c>
      <c r="I327" s="119">
        <f t="shared" ref="I327:I328" si="42">H327/1000*E327</f>
        <v>0.56000000000000005</v>
      </c>
    </row>
    <row r="328" spans="2:9" x14ac:dyDescent="0.25">
      <c r="D328" s="7" t="s">
        <v>158</v>
      </c>
      <c r="E328" s="114">
        <v>26.8</v>
      </c>
      <c r="F328" s="114">
        <v>25</v>
      </c>
      <c r="G328" s="70"/>
      <c r="H328" s="65">
        <v>138</v>
      </c>
      <c r="I328" s="119">
        <f t="shared" si="42"/>
        <v>3.6984000000000004</v>
      </c>
    </row>
    <row r="329" spans="2:9" x14ac:dyDescent="0.25">
      <c r="D329" s="7" t="s">
        <v>32</v>
      </c>
      <c r="E329" s="114">
        <v>190</v>
      </c>
      <c r="F329" s="114">
        <v>190</v>
      </c>
      <c r="G329" s="70"/>
    </row>
    <row r="330" spans="2:9" x14ac:dyDescent="0.25">
      <c r="D330" s="56" t="s">
        <v>154</v>
      </c>
      <c r="E330" s="114" t="s">
        <v>35</v>
      </c>
      <c r="F330" s="114" t="s">
        <v>35</v>
      </c>
      <c r="G330" s="70"/>
      <c r="I330" s="99">
        <f>SUM(I327:I329)</f>
        <v>4.2584</v>
      </c>
    </row>
    <row r="331" spans="2:9" x14ac:dyDescent="0.25">
      <c r="B331" s="5"/>
      <c r="C331" s="8"/>
      <c r="D331" s="47"/>
      <c r="E331" s="55"/>
      <c r="F331" s="55"/>
      <c r="G331" s="5"/>
      <c r="H331" s="5"/>
      <c r="I331" s="51"/>
    </row>
    <row r="333" spans="2:9" x14ac:dyDescent="0.25">
      <c r="B333" s="5" t="s">
        <v>90</v>
      </c>
      <c r="C333" s="8">
        <v>30</v>
      </c>
      <c r="D333" s="5" t="s">
        <v>90</v>
      </c>
      <c r="E333" s="8">
        <v>30</v>
      </c>
      <c r="F333" s="5"/>
      <c r="G333" s="5"/>
      <c r="H333" s="5">
        <v>55.1</v>
      </c>
      <c r="I333" s="51">
        <f t="shared" ref="I333" si="43">H333/1000*E333</f>
        <v>1.653</v>
      </c>
    </row>
    <row r="334" spans="2:9" x14ac:dyDescent="0.25">
      <c r="I334" s="238"/>
    </row>
    <row r="335" spans="2:9" x14ac:dyDescent="0.25">
      <c r="B335" s="65" t="s">
        <v>145</v>
      </c>
      <c r="C335" s="65">
        <v>40</v>
      </c>
      <c r="D335" s="65" t="s">
        <v>145</v>
      </c>
      <c r="E335" s="65">
        <v>40</v>
      </c>
      <c r="H335" s="65">
        <v>35.9</v>
      </c>
      <c r="I335" s="51">
        <f t="shared" ref="I335" si="44">H335/1000*E335</f>
        <v>1.4359999999999999</v>
      </c>
    </row>
    <row r="336" spans="2:9" x14ac:dyDescent="0.25">
      <c r="I336" s="238"/>
    </row>
    <row r="337" spans="1:9" s="102" customFormat="1" x14ac:dyDescent="0.25">
      <c r="A337" s="15" t="s">
        <v>214</v>
      </c>
      <c r="B337" s="101"/>
      <c r="C337" s="101"/>
      <c r="D337" s="104"/>
      <c r="E337" s="104"/>
      <c r="F337" s="104"/>
      <c r="G337" s="101"/>
      <c r="H337" s="101"/>
      <c r="I337" s="103">
        <f>I342+I357+I363+I378+I383+I385+I387</f>
        <v>73.743228999999985</v>
      </c>
    </row>
    <row r="338" spans="1:9" x14ac:dyDescent="0.25">
      <c r="B338" s="89" t="s">
        <v>77</v>
      </c>
      <c r="C338" s="69">
        <v>100</v>
      </c>
      <c r="D338" s="7" t="s">
        <v>146</v>
      </c>
      <c r="E338" s="183">
        <v>101.3</v>
      </c>
      <c r="F338" s="183">
        <v>81</v>
      </c>
      <c r="G338" s="70"/>
      <c r="H338" s="65">
        <v>74.33</v>
      </c>
      <c r="I338" s="119">
        <f t="shared" ref="I338:I341" si="45">H338/1000*E338</f>
        <v>7.529628999999999</v>
      </c>
    </row>
    <row r="339" spans="1:9" x14ac:dyDescent="0.25">
      <c r="C339" s="69"/>
      <c r="D339" s="7" t="s">
        <v>147</v>
      </c>
      <c r="E339" s="183">
        <v>18.8</v>
      </c>
      <c r="F339" s="183">
        <v>15</v>
      </c>
      <c r="G339" s="70"/>
      <c r="I339" s="119">
        <f t="shared" si="45"/>
        <v>0</v>
      </c>
    </row>
    <row r="340" spans="1:9" x14ac:dyDescent="0.25">
      <c r="C340" s="69"/>
      <c r="D340" s="7" t="s">
        <v>148</v>
      </c>
      <c r="E340" s="183">
        <v>17.899999999999999</v>
      </c>
      <c r="F340" s="183">
        <v>15</v>
      </c>
      <c r="G340" s="70"/>
      <c r="H340" s="65">
        <v>27</v>
      </c>
      <c r="I340" s="119">
        <f t="shared" si="45"/>
        <v>0.48329999999999995</v>
      </c>
    </row>
    <row r="341" spans="1:9" x14ac:dyDescent="0.25">
      <c r="C341" s="69"/>
      <c r="D341" s="7" t="s">
        <v>125</v>
      </c>
      <c r="E341" s="183">
        <v>5</v>
      </c>
      <c r="F341" s="183">
        <v>5</v>
      </c>
      <c r="G341" s="70"/>
      <c r="H341" s="65">
        <v>163</v>
      </c>
      <c r="I341" s="119">
        <f t="shared" si="45"/>
        <v>0.81500000000000006</v>
      </c>
    </row>
    <row r="342" spans="1:9" x14ac:dyDescent="0.25">
      <c r="C342" s="69"/>
      <c r="D342" s="56" t="s">
        <v>23</v>
      </c>
      <c r="E342" s="217">
        <v>100</v>
      </c>
      <c r="F342" s="217"/>
      <c r="G342" s="70"/>
      <c r="I342" s="99">
        <f>I338+I339+I340+I341</f>
        <v>8.8279289999999992</v>
      </c>
    </row>
    <row r="343" spans="1:9" x14ac:dyDescent="0.25">
      <c r="C343" s="69"/>
      <c r="D343" s="56"/>
      <c r="E343" s="183"/>
      <c r="F343" s="183"/>
      <c r="G343" s="70"/>
      <c r="I343" s="99"/>
    </row>
    <row r="344" spans="1:9" x14ac:dyDescent="0.25">
      <c r="B344" s="65" t="s">
        <v>215</v>
      </c>
      <c r="C344" s="69">
        <v>250</v>
      </c>
      <c r="D344" s="7" t="s">
        <v>216</v>
      </c>
      <c r="E344" s="19">
        <v>2.5</v>
      </c>
      <c r="F344" s="19">
        <v>2.5</v>
      </c>
      <c r="G344" s="70"/>
      <c r="H344" s="65">
        <v>163</v>
      </c>
      <c r="I344" s="119">
        <f t="shared" ref="I344:I356" si="46">H344/1000*E344</f>
        <v>0.40750000000000003</v>
      </c>
    </row>
    <row r="345" spans="1:9" x14ac:dyDescent="0.25">
      <c r="C345" s="69"/>
      <c r="D345" s="7" t="s">
        <v>217</v>
      </c>
      <c r="E345" s="19" t="s">
        <v>35</v>
      </c>
      <c r="F345" s="19">
        <v>175</v>
      </c>
      <c r="G345" s="70"/>
    </row>
    <row r="346" spans="1:9" x14ac:dyDescent="0.25">
      <c r="C346" s="69"/>
      <c r="D346" s="7" t="s">
        <v>136</v>
      </c>
      <c r="E346" s="19">
        <v>175</v>
      </c>
      <c r="F346" s="19">
        <v>175</v>
      </c>
      <c r="G346" s="70"/>
      <c r="I346" s="119">
        <f t="shared" si="46"/>
        <v>0</v>
      </c>
    </row>
    <row r="347" spans="1:9" x14ac:dyDescent="0.25">
      <c r="C347" s="69"/>
      <c r="D347" s="7" t="s">
        <v>130</v>
      </c>
      <c r="E347" s="19">
        <v>100</v>
      </c>
      <c r="F347" s="19">
        <v>75</v>
      </c>
      <c r="G347" s="70"/>
      <c r="H347" s="65">
        <v>30</v>
      </c>
      <c r="I347" s="119">
        <f t="shared" si="46"/>
        <v>3</v>
      </c>
    </row>
    <row r="348" spans="1:9" x14ac:dyDescent="0.25">
      <c r="C348" s="69"/>
      <c r="D348" s="7" t="s">
        <v>218</v>
      </c>
      <c r="E348" s="19">
        <v>10</v>
      </c>
      <c r="F348" s="19">
        <v>10</v>
      </c>
      <c r="G348" s="70"/>
      <c r="I348" s="119">
        <f t="shared" si="46"/>
        <v>0</v>
      </c>
    </row>
    <row r="349" spans="1:9" x14ac:dyDescent="0.25">
      <c r="C349" s="69"/>
      <c r="D349" s="7" t="s">
        <v>219</v>
      </c>
      <c r="E349" s="19">
        <v>10</v>
      </c>
      <c r="F349" s="19">
        <v>10</v>
      </c>
      <c r="G349" s="70"/>
      <c r="I349" s="119">
        <f t="shared" si="46"/>
        <v>0</v>
      </c>
    </row>
    <row r="350" spans="1:9" x14ac:dyDescent="0.25">
      <c r="C350" s="69"/>
      <c r="D350" s="7" t="s">
        <v>220</v>
      </c>
      <c r="E350" s="19">
        <v>10</v>
      </c>
      <c r="F350" s="19">
        <v>10</v>
      </c>
      <c r="G350" s="70"/>
      <c r="I350" s="119">
        <f t="shared" si="46"/>
        <v>0</v>
      </c>
    </row>
    <row r="351" spans="1:9" x14ac:dyDescent="0.25">
      <c r="C351" s="69"/>
      <c r="D351" s="7" t="s">
        <v>221</v>
      </c>
      <c r="E351" s="19">
        <v>7.5</v>
      </c>
      <c r="F351" s="19">
        <v>7.5</v>
      </c>
      <c r="G351" s="70"/>
      <c r="I351" s="119">
        <f t="shared" si="46"/>
        <v>0</v>
      </c>
    </row>
    <row r="352" spans="1:9" x14ac:dyDescent="0.25">
      <c r="C352" s="69"/>
      <c r="D352" s="7" t="s">
        <v>222</v>
      </c>
      <c r="E352" s="19">
        <v>5</v>
      </c>
      <c r="F352" s="19">
        <v>5</v>
      </c>
      <c r="G352" s="70"/>
      <c r="I352" s="119">
        <f t="shared" si="46"/>
        <v>0</v>
      </c>
    </row>
    <row r="353" spans="2:9" x14ac:dyDescent="0.25">
      <c r="C353" s="69"/>
      <c r="D353" s="7" t="s">
        <v>223</v>
      </c>
      <c r="E353" s="19">
        <v>5</v>
      </c>
      <c r="F353" s="19">
        <v>5</v>
      </c>
      <c r="G353" s="70"/>
      <c r="H353" s="65">
        <v>35</v>
      </c>
      <c r="I353" s="119">
        <f t="shared" si="46"/>
        <v>0.17500000000000002</v>
      </c>
    </row>
    <row r="354" spans="2:9" x14ac:dyDescent="0.25">
      <c r="C354" s="69"/>
      <c r="D354" s="7" t="s">
        <v>224</v>
      </c>
      <c r="E354" s="19">
        <v>5</v>
      </c>
      <c r="F354" s="19">
        <v>5</v>
      </c>
      <c r="G354" s="70"/>
      <c r="I354" s="119">
        <f t="shared" si="46"/>
        <v>0</v>
      </c>
    </row>
    <row r="355" spans="2:9" x14ac:dyDescent="0.25">
      <c r="C355" s="69"/>
      <c r="D355" s="7" t="s">
        <v>225</v>
      </c>
      <c r="E355" s="19">
        <v>12.5</v>
      </c>
      <c r="F355" s="19">
        <v>10</v>
      </c>
      <c r="G355" s="70"/>
      <c r="H355" s="65">
        <v>35</v>
      </c>
      <c r="I355" s="119">
        <f t="shared" si="46"/>
        <v>0.43750000000000006</v>
      </c>
    </row>
    <row r="356" spans="2:9" x14ac:dyDescent="0.25">
      <c r="C356" s="69"/>
      <c r="D356" s="7" t="s">
        <v>132</v>
      </c>
      <c r="E356" s="19">
        <v>12</v>
      </c>
      <c r="F356" s="19">
        <v>10</v>
      </c>
      <c r="G356" s="70"/>
      <c r="H356" s="65">
        <v>27</v>
      </c>
      <c r="I356" s="119">
        <f t="shared" si="46"/>
        <v>0.32400000000000001</v>
      </c>
    </row>
    <row r="357" spans="2:9" x14ac:dyDescent="0.25">
      <c r="C357" s="69"/>
      <c r="D357" s="56" t="s">
        <v>168</v>
      </c>
      <c r="E357" s="19" t="s">
        <v>35</v>
      </c>
      <c r="F357" s="19" t="s">
        <v>35</v>
      </c>
      <c r="G357" s="70"/>
      <c r="I357" s="99">
        <f>SUM(I344:I356)</f>
        <v>4.3440000000000003</v>
      </c>
    </row>
    <row r="358" spans="2:9" x14ac:dyDescent="0.25">
      <c r="D358" s="72"/>
      <c r="E358" s="72"/>
      <c r="F358" s="72"/>
    </row>
    <row r="359" spans="2:9" x14ac:dyDescent="0.25">
      <c r="B359" s="65" t="s">
        <v>189</v>
      </c>
      <c r="C359" s="69">
        <v>180</v>
      </c>
      <c r="D359" s="90" t="s">
        <v>188</v>
      </c>
      <c r="E359" s="113">
        <v>82.8</v>
      </c>
      <c r="F359" s="113">
        <v>82.8</v>
      </c>
      <c r="G359" s="70"/>
      <c r="H359" s="65">
        <v>80</v>
      </c>
      <c r="I359" s="119">
        <f t="shared" ref="I359:I362" si="47">H359/1000*E359</f>
        <v>6.6239999999999997</v>
      </c>
    </row>
    <row r="360" spans="2:9" x14ac:dyDescent="0.25">
      <c r="C360" s="69"/>
      <c r="D360" s="7" t="s">
        <v>22</v>
      </c>
      <c r="E360" s="114">
        <v>8.15</v>
      </c>
      <c r="F360" s="114">
        <v>8.15</v>
      </c>
      <c r="G360" s="70"/>
      <c r="H360" s="65">
        <v>990</v>
      </c>
      <c r="I360" s="119">
        <f t="shared" si="47"/>
        <v>8.0685000000000002</v>
      </c>
    </row>
    <row r="361" spans="2:9" x14ac:dyDescent="0.25">
      <c r="C361" s="69"/>
      <c r="D361" s="7" t="s">
        <v>34</v>
      </c>
      <c r="E361" s="114">
        <v>0.59</v>
      </c>
      <c r="F361" s="114">
        <v>0.59</v>
      </c>
      <c r="G361" s="70"/>
      <c r="H361" s="65">
        <v>20</v>
      </c>
      <c r="I361" s="119">
        <f t="shared" si="47"/>
        <v>1.18E-2</v>
      </c>
    </row>
    <row r="362" spans="2:9" x14ac:dyDescent="0.25">
      <c r="C362" s="69"/>
      <c r="D362" s="7" t="s">
        <v>32</v>
      </c>
      <c r="E362" s="114">
        <v>122.4</v>
      </c>
      <c r="F362" s="114">
        <v>122.4</v>
      </c>
      <c r="G362" s="70"/>
      <c r="I362" s="119">
        <f t="shared" si="47"/>
        <v>0</v>
      </c>
    </row>
    <row r="363" spans="2:9" x14ac:dyDescent="0.25">
      <c r="C363" s="69"/>
      <c r="D363" s="56" t="s">
        <v>156</v>
      </c>
      <c r="E363" s="114" t="s">
        <v>35</v>
      </c>
      <c r="F363" s="114" t="s">
        <v>35</v>
      </c>
      <c r="G363" s="70"/>
      <c r="I363" s="99">
        <f>SUM(I359:I362)</f>
        <v>14.704299999999998</v>
      </c>
    </row>
    <row r="364" spans="2:9" x14ac:dyDescent="0.25">
      <c r="D364" s="71"/>
      <c r="E364" s="71"/>
      <c r="F364" s="71"/>
    </row>
    <row r="365" spans="2:9" ht="25.5" x14ac:dyDescent="0.25">
      <c r="B365" s="65" t="s">
        <v>323</v>
      </c>
      <c r="C365" s="69">
        <v>100</v>
      </c>
      <c r="D365" s="7" t="s">
        <v>324</v>
      </c>
      <c r="E365" s="123">
        <v>107</v>
      </c>
      <c r="F365" s="123">
        <v>79</v>
      </c>
      <c r="G365" s="70"/>
      <c r="I365" s="119">
        <f t="shared" ref="I365:I375" si="48">H365/1000*E365</f>
        <v>0</v>
      </c>
    </row>
    <row r="366" spans="2:9" ht="25.5" x14ac:dyDescent="0.25">
      <c r="C366" s="69"/>
      <c r="D366" s="7" t="s">
        <v>325</v>
      </c>
      <c r="E366" s="123">
        <v>107</v>
      </c>
      <c r="F366" s="123">
        <v>79</v>
      </c>
      <c r="G366" s="70"/>
      <c r="H366" s="92"/>
      <c r="I366" s="119">
        <f t="shared" si="48"/>
        <v>0</v>
      </c>
    </row>
    <row r="367" spans="2:9" x14ac:dyDescent="0.25">
      <c r="C367" s="69"/>
      <c r="D367" s="7" t="s">
        <v>326</v>
      </c>
      <c r="E367" s="123">
        <v>107</v>
      </c>
      <c r="F367" s="123">
        <v>79</v>
      </c>
      <c r="G367" s="70"/>
      <c r="I367" s="119">
        <f t="shared" si="48"/>
        <v>0</v>
      </c>
    </row>
    <row r="368" spans="2:9" x14ac:dyDescent="0.25">
      <c r="C368" s="69"/>
      <c r="D368" s="7" t="s">
        <v>327</v>
      </c>
      <c r="E368" s="123">
        <v>107</v>
      </c>
      <c r="F368" s="123">
        <v>79</v>
      </c>
      <c r="G368" s="70"/>
      <c r="I368" s="119">
        <f t="shared" si="48"/>
        <v>0</v>
      </c>
    </row>
    <row r="369" spans="2:9" x14ac:dyDescent="0.25">
      <c r="C369" s="69"/>
      <c r="D369" s="7" t="s">
        <v>328</v>
      </c>
      <c r="E369" s="123">
        <v>107</v>
      </c>
      <c r="F369" s="123">
        <v>79</v>
      </c>
      <c r="G369" s="70"/>
      <c r="I369" s="119">
        <f t="shared" si="48"/>
        <v>0</v>
      </c>
    </row>
    <row r="370" spans="2:9" x14ac:dyDescent="0.25">
      <c r="C370" s="69"/>
      <c r="D370" s="7" t="s">
        <v>319</v>
      </c>
      <c r="E370" s="123">
        <v>87</v>
      </c>
      <c r="F370" s="123">
        <v>74</v>
      </c>
      <c r="G370" s="70"/>
      <c r="H370" s="65">
        <v>398</v>
      </c>
      <c r="I370" s="119">
        <f t="shared" si="48"/>
        <v>34.626000000000005</v>
      </c>
    </row>
    <row r="371" spans="2:9" x14ac:dyDescent="0.25">
      <c r="C371" s="69"/>
      <c r="D371" s="7" t="s">
        <v>320</v>
      </c>
      <c r="E371" s="123">
        <v>87</v>
      </c>
      <c r="F371" s="123">
        <v>74</v>
      </c>
      <c r="G371" s="70"/>
      <c r="H371" s="65">
        <v>0</v>
      </c>
      <c r="I371" s="119">
        <f t="shared" si="48"/>
        <v>0</v>
      </c>
    </row>
    <row r="372" spans="2:9" x14ac:dyDescent="0.25">
      <c r="C372" s="69"/>
      <c r="D372" s="7" t="s">
        <v>125</v>
      </c>
      <c r="E372" s="123">
        <v>5</v>
      </c>
      <c r="F372" s="123">
        <v>5</v>
      </c>
      <c r="G372" s="70"/>
      <c r="H372" s="65">
        <v>163</v>
      </c>
      <c r="I372" s="119">
        <f t="shared" si="48"/>
        <v>0.81500000000000006</v>
      </c>
    </row>
    <row r="373" spans="2:9" x14ac:dyDescent="0.25">
      <c r="C373" s="69"/>
      <c r="D373" s="7" t="s">
        <v>132</v>
      </c>
      <c r="E373" s="123">
        <v>12</v>
      </c>
      <c r="F373" s="123">
        <v>10</v>
      </c>
      <c r="G373" s="70"/>
      <c r="H373" s="65">
        <v>27</v>
      </c>
      <c r="I373" s="119">
        <f t="shared" si="48"/>
        <v>0.32400000000000001</v>
      </c>
    </row>
    <row r="374" spans="2:9" x14ac:dyDescent="0.25">
      <c r="C374" s="69"/>
      <c r="D374" s="7" t="s">
        <v>133</v>
      </c>
      <c r="E374" s="123">
        <v>8</v>
      </c>
      <c r="F374" s="123">
        <v>8</v>
      </c>
      <c r="G374" s="70"/>
      <c r="H374" s="65">
        <v>210</v>
      </c>
      <c r="I374" s="119">
        <f t="shared" si="48"/>
        <v>1.68</v>
      </c>
    </row>
    <row r="375" spans="2:9" ht="19.5" customHeight="1" x14ac:dyDescent="0.25">
      <c r="C375" s="69"/>
      <c r="D375" s="7" t="s">
        <v>203</v>
      </c>
      <c r="E375" s="123">
        <v>2</v>
      </c>
      <c r="F375" s="123">
        <v>2</v>
      </c>
      <c r="G375" s="70"/>
      <c r="H375" s="65">
        <v>39</v>
      </c>
      <c r="I375" s="119">
        <f t="shared" si="48"/>
        <v>7.8E-2</v>
      </c>
    </row>
    <row r="376" spans="2:9" ht="12.75" customHeight="1" x14ac:dyDescent="0.25">
      <c r="C376" s="69"/>
      <c r="D376" s="7" t="s">
        <v>321</v>
      </c>
      <c r="E376" s="123" t="s">
        <v>35</v>
      </c>
      <c r="F376" s="123">
        <v>50</v>
      </c>
      <c r="G376" s="70"/>
    </row>
    <row r="377" spans="2:9" ht="15" customHeight="1" x14ac:dyDescent="0.25">
      <c r="C377" s="69"/>
      <c r="D377" s="7" t="s">
        <v>329</v>
      </c>
      <c r="E377" s="123" t="s">
        <v>35</v>
      </c>
      <c r="F377" s="123">
        <v>50</v>
      </c>
      <c r="G377" s="70"/>
    </row>
    <row r="378" spans="2:9" x14ac:dyDescent="0.25">
      <c r="C378" s="69"/>
      <c r="D378" s="56" t="s">
        <v>207</v>
      </c>
      <c r="E378" s="123" t="s">
        <v>35</v>
      </c>
      <c r="F378" s="123" t="s">
        <v>35</v>
      </c>
      <c r="G378" s="70"/>
      <c r="I378" s="99">
        <f>SUM(I365:I377)</f>
        <v>37.523000000000003</v>
      </c>
    </row>
    <row r="379" spans="2:9" x14ac:dyDescent="0.25">
      <c r="C379" s="69"/>
      <c r="D379" s="136"/>
      <c r="E379" s="124"/>
      <c r="F379" s="124"/>
      <c r="G379" s="70"/>
    </row>
    <row r="380" spans="2:9" x14ac:dyDescent="0.25">
      <c r="B380" s="65" t="s">
        <v>299</v>
      </c>
      <c r="C380" s="69">
        <v>200</v>
      </c>
      <c r="D380" s="90" t="s">
        <v>300</v>
      </c>
      <c r="E380" s="124">
        <v>17</v>
      </c>
      <c r="F380" s="124">
        <v>7</v>
      </c>
      <c r="G380" s="70"/>
      <c r="H380" s="65">
        <v>215</v>
      </c>
      <c r="I380" s="46">
        <f t="shared" ref="I380:I382" si="49">H380/1000*E380</f>
        <v>3.6549999999999998</v>
      </c>
    </row>
    <row r="381" spans="2:9" x14ac:dyDescent="0.25">
      <c r="C381" s="69"/>
      <c r="D381" s="7" t="s">
        <v>32</v>
      </c>
      <c r="E381" s="114">
        <v>214</v>
      </c>
      <c r="F381" s="114">
        <v>214</v>
      </c>
      <c r="G381" s="70"/>
      <c r="H381" s="65">
        <v>0</v>
      </c>
      <c r="I381" s="46">
        <f t="shared" si="49"/>
        <v>0</v>
      </c>
    </row>
    <row r="382" spans="2:9" x14ac:dyDescent="0.25">
      <c r="C382" s="69"/>
      <c r="D382" s="7" t="s">
        <v>33</v>
      </c>
      <c r="E382" s="114">
        <v>20</v>
      </c>
      <c r="F382" s="114">
        <v>20</v>
      </c>
      <c r="G382" s="70"/>
      <c r="H382" s="65">
        <v>80</v>
      </c>
      <c r="I382" s="46">
        <f t="shared" si="49"/>
        <v>1.6</v>
      </c>
    </row>
    <row r="383" spans="2:9" x14ac:dyDescent="0.25">
      <c r="C383" s="69"/>
      <c r="D383" s="56" t="s">
        <v>154</v>
      </c>
      <c r="E383" s="114" t="s">
        <v>35</v>
      </c>
      <c r="F383" s="114" t="s">
        <v>35</v>
      </c>
      <c r="G383" s="70"/>
      <c r="I383" s="99">
        <f>SUM(I380:I382)</f>
        <v>5.2549999999999999</v>
      </c>
    </row>
    <row r="385" spans="1:9" x14ac:dyDescent="0.25">
      <c r="B385" s="5" t="s">
        <v>90</v>
      </c>
      <c r="C385" s="8">
        <v>30</v>
      </c>
      <c r="D385" s="5" t="s">
        <v>90</v>
      </c>
      <c r="E385" s="8">
        <v>30</v>
      </c>
      <c r="F385" s="5"/>
      <c r="G385" s="5"/>
      <c r="H385" s="5">
        <v>55.1</v>
      </c>
      <c r="I385" s="51">
        <f t="shared" ref="I385" si="50">H385/1000*E385</f>
        <v>1.653</v>
      </c>
    </row>
    <row r="386" spans="1:9" x14ac:dyDescent="0.25">
      <c r="I386" s="51"/>
    </row>
    <row r="387" spans="1:9" x14ac:dyDescent="0.25">
      <c r="B387" s="65" t="s">
        <v>145</v>
      </c>
      <c r="C387" s="65">
        <v>40</v>
      </c>
      <c r="D387" s="65" t="s">
        <v>145</v>
      </c>
      <c r="E387" s="65">
        <v>40</v>
      </c>
      <c r="H387" s="65">
        <v>35.9</v>
      </c>
      <c r="I387" s="51">
        <f t="shared" ref="I387" si="51">H387/1000*E387</f>
        <v>1.4359999999999999</v>
      </c>
    </row>
    <row r="389" spans="1:9" s="102" customFormat="1" x14ac:dyDescent="0.25">
      <c r="A389" s="15" t="s">
        <v>226</v>
      </c>
      <c r="B389" s="101"/>
      <c r="C389" s="101"/>
      <c r="D389" s="104"/>
      <c r="E389" s="104"/>
      <c r="F389" s="104"/>
      <c r="G389" s="101"/>
      <c r="H389" s="101"/>
      <c r="I389" s="103">
        <f>I397+I408+I414+I423+I428+I430+I432</f>
        <v>71.067410000000024</v>
      </c>
    </row>
    <row r="390" spans="1:9" x14ac:dyDescent="0.25">
      <c r="B390" s="65" t="s">
        <v>159</v>
      </c>
      <c r="C390" s="65">
        <v>100</v>
      </c>
      <c r="D390" s="11" t="s">
        <v>160</v>
      </c>
      <c r="E390" s="84">
        <v>92</v>
      </c>
      <c r="F390" s="84">
        <v>86</v>
      </c>
      <c r="H390" s="65">
        <v>45</v>
      </c>
      <c r="I390" s="119">
        <f t="shared" ref="I390:I396" si="52">H390/1000*E390</f>
        <v>4.1399999999999997</v>
      </c>
    </row>
    <row r="391" spans="1:9" x14ac:dyDescent="0.25">
      <c r="D391" s="11" t="s">
        <v>161</v>
      </c>
      <c r="E391" s="84">
        <v>5</v>
      </c>
      <c r="F391" s="84">
        <v>4</v>
      </c>
      <c r="H391" s="65">
        <v>700</v>
      </c>
      <c r="I391" s="119">
        <f t="shared" si="52"/>
        <v>3.5</v>
      </c>
    </row>
    <row r="392" spans="1:9" x14ac:dyDescent="0.25">
      <c r="D392" s="11" t="s">
        <v>162</v>
      </c>
      <c r="E392" s="84">
        <v>0.5</v>
      </c>
      <c r="F392" s="84">
        <v>0.5</v>
      </c>
      <c r="H392" s="65">
        <v>80</v>
      </c>
      <c r="I392" s="119">
        <f t="shared" si="52"/>
        <v>0.04</v>
      </c>
    </row>
    <row r="393" spans="1:9" x14ac:dyDescent="0.25">
      <c r="D393" s="11" t="s">
        <v>163</v>
      </c>
      <c r="E393" s="84">
        <v>3.5</v>
      </c>
      <c r="F393" s="84">
        <v>3.5</v>
      </c>
      <c r="H393" s="65">
        <v>163</v>
      </c>
      <c r="I393" s="119">
        <f t="shared" si="52"/>
        <v>0.57050000000000001</v>
      </c>
    </row>
    <row r="394" spans="1:9" x14ac:dyDescent="0.25">
      <c r="D394" s="11" t="s">
        <v>164</v>
      </c>
      <c r="E394" s="18">
        <v>4.5</v>
      </c>
      <c r="F394" s="84">
        <v>3.5</v>
      </c>
      <c r="H394" s="65">
        <v>700</v>
      </c>
      <c r="I394" s="119">
        <f t="shared" si="52"/>
        <v>3.15</v>
      </c>
    </row>
    <row r="395" spans="1:9" x14ac:dyDescent="0.25">
      <c r="D395" s="11" t="s">
        <v>142</v>
      </c>
      <c r="E395" s="84">
        <v>1.5</v>
      </c>
      <c r="F395" s="84">
        <v>1.5</v>
      </c>
      <c r="H395" s="65">
        <v>20</v>
      </c>
      <c r="I395" s="119">
        <f t="shared" si="52"/>
        <v>0.03</v>
      </c>
    </row>
    <row r="396" spans="1:9" x14ac:dyDescent="0.25">
      <c r="D396" s="11" t="s">
        <v>165</v>
      </c>
      <c r="E396" s="94">
        <v>0.01</v>
      </c>
      <c r="F396" s="94">
        <v>0.01</v>
      </c>
      <c r="H396" s="65">
        <v>500</v>
      </c>
      <c r="I396" s="119">
        <f t="shared" si="52"/>
        <v>5.0000000000000001E-3</v>
      </c>
    </row>
    <row r="397" spans="1:9" x14ac:dyDescent="0.25">
      <c r="D397" s="137" t="s">
        <v>112</v>
      </c>
      <c r="E397" s="137" t="s">
        <v>35</v>
      </c>
      <c r="F397" s="138">
        <v>100</v>
      </c>
      <c r="I397" s="99">
        <f>SUM(I390:I396)</f>
        <v>11.435499999999999</v>
      </c>
    </row>
    <row r="398" spans="1:9" x14ac:dyDescent="0.25">
      <c r="D398" s="74"/>
      <c r="E398" s="74"/>
      <c r="F398" s="74"/>
    </row>
    <row r="399" spans="1:9" x14ac:dyDescent="0.25">
      <c r="B399" s="65" t="s">
        <v>307</v>
      </c>
      <c r="C399" s="69">
        <v>250</v>
      </c>
      <c r="D399" s="7" t="s">
        <v>130</v>
      </c>
      <c r="E399" s="114">
        <v>136</v>
      </c>
      <c r="F399" s="114">
        <v>100</v>
      </c>
      <c r="G399" s="70"/>
      <c r="H399" s="65">
        <v>30</v>
      </c>
      <c r="I399" s="46">
        <f t="shared" ref="I399:I406" si="53">H399/1000*E399</f>
        <v>4.08</v>
      </c>
    </row>
    <row r="400" spans="1:9" x14ac:dyDescent="0.25">
      <c r="C400" s="69"/>
      <c r="D400" s="7" t="s">
        <v>166</v>
      </c>
      <c r="E400" s="114">
        <v>10</v>
      </c>
      <c r="F400" s="114">
        <v>10</v>
      </c>
      <c r="G400" s="70"/>
      <c r="H400" s="65">
        <v>59</v>
      </c>
      <c r="I400" s="46">
        <f t="shared" si="53"/>
        <v>0.59</v>
      </c>
    </row>
    <row r="401" spans="2:9" x14ac:dyDescent="0.25">
      <c r="C401" s="69"/>
      <c r="D401" s="7" t="s">
        <v>132</v>
      </c>
      <c r="E401" s="114">
        <v>12.5</v>
      </c>
      <c r="F401" s="114">
        <v>10</v>
      </c>
      <c r="G401" s="70"/>
      <c r="H401" s="65">
        <v>27</v>
      </c>
      <c r="I401" s="46">
        <f t="shared" si="53"/>
        <v>0.33750000000000002</v>
      </c>
    </row>
    <row r="402" spans="2:9" x14ac:dyDescent="0.25">
      <c r="C402" s="69"/>
      <c r="D402" s="7" t="s">
        <v>131</v>
      </c>
      <c r="E402" s="114">
        <v>12.5</v>
      </c>
      <c r="F402" s="114">
        <v>10</v>
      </c>
      <c r="G402" s="70"/>
      <c r="H402" s="65">
        <v>35</v>
      </c>
      <c r="I402" s="46">
        <f t="shared" si="53"/>
        <v>0.43750000000000006</v>
      </c>
    </row>
    <row r="403" spans="2:9" x14ac:dyDescent="0.25">
      <c r="C403" s="69"/>
      <c r="D403" s="7" t="s">
        <v>125</v>
      </c>
      <c r="E403" s="114">
        <v>2.5</v>
      </c>
      <c r="F403" s="114">
        <v>2.5</v>
      </c>
      <c r="G403" s="70"/>
      <c r="H403" s="65">
        <v>163</v>
      </c>
      <c r="I403" s="46">
        <f t="shared" si="53"/>
        <v>0.40750000000000003</v>
      </c>
    </row>
    <row r="404" spans="2:9" x14ac:dyDescent="0.25">
      <c r="C404" s="69"/>
      <c r="D404" s="7" t="s">
        <v>151</v>
      </c>
      <c r="E404" s="114">
        <v>0.05</v>
      </c>
      <c r="F404" s="114">
        <v>0.05</v>
      </c>
      <c r="G404" s="70"/>
      <c r="H404" s="65">
        <v>1000</v>
      </c>
      <c r="I404" s="46">
        <f t="shared" si="53"/>
        <v>0.05</v>
      </c>
    </row>
    <row r="405" spans="2:9" x14ac:dyDescent="0.25">
      <c r="C405" s="69"/>
      <c r="D405" s="7" t="s">
        <v>34</v>
      </c>
      <c r="E405" s="114">
        <v>0.38</v>
      </c>
      <c r="F405" s="114">
        <v>0.38</v>
      </c>
      <c r="G405" s="70"/>
      <c r="H405" s="65">
        <v>20</v>
      </c>
      <c r="I405" s="46">
        <f t="shared" si="53"/>
        <v>7.6E-3</v>
      </c>
    </row>
    <row r="406" spans="2:9" x14ac:dyDescent="0.25">
      <c r="C406" s="69"/>
      <c r="D406" s="7" t="s">
        <v>152</v>
      </c>
      <c r="E406" s="114">
        <v>175</v>
      </c>
      <c r="F406" s="114">
        <v>175</v>
      </c>
      <c r="G406" s="70"/>
      <c r="I406" s="46">
        <f t="shared" si="53"/>
        <v>0</v>
      </c>
    </row>
    <row r="407" spans="2:9" x14ac:dyDescent="0.25">
      <c r="C407" s="69"/>
      <c r="D407" s="7" t="s">
        <v>153</v>
      </c>
      <c r="E407" s="114">
        <v>175</v>
      </c>
      <c r="F407" s="114">
        <v>175</v>
      </c>
      <c r="G407" s="70"/>
      <c r="I407" s="46"/>
    </row>
    <row r="408" spans="2:9" x14ac:dyDescent="0.25">
      <c r="C408" s="69"/>
      <c r="D408" s="56" t="s">
        <v>168</v>
      </c>
      <c r="E408" s="114" t="s">
        <v>35</v>
      </c>
      <c r="F408" s="114" t="s">
        <v>35</v>
      </c>
      <c r="G408" s="70"/>
      <c r="I408" s="51">
        <f>SUM(I399:I407)</f>
        <v>5.9100999999999999</v>
      </c>
    </row>
    <row r="409" spans="2:9" x14ac:dyDescent="0.25">
      <c r="D409" s="74"/>
      <c r="E409" s="74"/>
      <c r="F409" s="74"/>
    </row>
    <row r="410" spans="2:9" x14ac:dyDescent="0.25">
      <c r="B410" s="65" t="s">
        <v>243</v>
      </c>
      <c r="C410" s="69">
        <v>180</v>
      </c>
      <c r="D410" s="7" t="s">
        <v>29</v>
      </c>
      <c r="E410" s="19">
        <v>64.8</v>
      </c>
      <c r="F410" s="19">
        <v>64.8</v>
      </c>
      <c r="G410" s="70"/>
      <c r="H410" s="65">
        <v>94</v>
      </c>
      <c r="I410" s="46">
        <f t="shared" ref="I410:I412" si="54">H410/1000*E410</f>
        <v>6.0911999999999997</v>
      </c>
    </row>
    <row r="411" spans="2:9" x14ac:dyDescent="0.25">
      <c r="C411" s="69"/>
      <c r="D411" s="7" t="s">
        <v>22</v>
      </c>
      <c r="E411" s="19">
        <v>8.15</v>
      </c>
      <c r="F411" s="19">
        <v>8.15</v>
      </c>
      <c r="G411" s="70"/>
      <c r="H411" s="65">
        <v>990</v>
      </c>
      <c r="I411" s="46">
        <f t="shared" si="54"/>
        <v>8.0685000000000002</v>
      </c>
    </row>
    <row r="412" spans="2:9" x14ac:dyDescent="0.25">
      <c r="C412" s="69"/>
      <c r="D412" s="7" t="s">
        <v>34</v>
      </c>
      <c r="E412" s="19">
        <v>0.59</v>
      </c>
      <c r="F412" s="19">
        <v>0.59</v>
      </c>
      <c r="G412" s="70"/>
      <c r="H412" s="65">
        <v>20</v>
      </c>
      <c r="I412" s="46">
        <f t="shared" si="54"/>
        <v>1.18E-2</v>
      </c>
    </row>
    <row r="413" spans="2:9" x14ac:dyDescent="0.25">
      <c r="C413" s="69"/>
      <c r="D413" s="7" t="s">
        <v>32</v>
      </c>
      <c r="E413" s="19">
        <v>388.8</v>
      </c>
      <c r="F413" s="19">
        <v>388.8</v>
      </c>
      <c r="G413" s="70"/>
    </row>
    <row r="414" spans="2:9" x14ac:dyDescent="0.25">
      <c r="C414" s="69"/>
      <c r="D414" s="56" t="s">
        <v>156</v>
      </c>
      <c r="E414" s="19" t="s">
        <v>35</v>
      </c>
      <c r="F414" s="19" t="s">
        <v>35</v>
      </c>
      <c r="G414" s="70"/>
      <c r="I414" s="99">
        <f>SUM(I410:I413)</f>
        <v>14.1715</v>
      </c>
    </row>
    <row r="415" spans="2:9" x14ac:dyDescent="0.25">
      <c r="D415" s="74"/>
      <c r="E415" s="74"/>
      <c r="F415" s="74"/>
    </row>
    <row r="416" spans="2:9" x14ac:dyDescent="0.25">
      <c r="B416" s="73" t="s">
        <v>245</v>
      </c>
      <c r="C416" s="69">
        <v>100</v>
      </c>
      <c r="D416" s="7" t="s">
        <v>244</v>
      </c>
      <c r="E416" s="19">
        <v>134.08000000000001</v>
      </c>
      <c r="F416" s="19">
        <v>61.67</v>
      </c>
      <c r="G416" s="70"/>
      <c r="H416" s="65">
        <v>210</v>
      </c>
      <c r="I416" s="46">
        <f t="shared" ref="I416:I422" si="55">H416/1000*E416</f>
        <v>28.1568</v>
      </c>
    </row>
    <row r="417" spans="2:9" x14ac:dyDescent="0.25">
      <c r="C417" s="69"/>
      <c r="D417" s="7" t="s">
        <v>32</v>
      </c>
      <c r="E417" s="19">
        <v>18.329999999999998</v>
      </c>
      <c r="F417" s="19">
        <v>18.329999999999998</v>
      </c>
      <c r="G417" s="70"/>
      <c r="I417" s="46">
        <f t="shared" si="55"/>
        <v>0</v>
      </c>
    </row>
    <row r="418" spans="2:9" x14ac:dyDescent="0.25">
      <c r="C418" s="69"/>
      <c r="D418" s="7" t="s">
        <v>225</v>
      </c>
      <c r="E418" s="19">
        <v>28.17</v>
      </c>
      <c r="F418" s="19">
        <v>22.5</v>
      </c>
      <c r="G418" s="70"/>
      <c r="H418" s="65">
        <v>35</v>
      </c>
      <c r="I418" s="46">
        <f t="shared" si="55"/>
        <v>0.9859500000000001</v>
      </c>
    </row>
    <row r="419" spans="2:9" x14ac:dyDescent="0.25">
      <c r="C419" s="69"/>
      <c r="D419" s="7" t="s">
        <v>132</v>
      </c>
      <c r="E419" s="19">
        <v>17.829999999999998</v>
      </c>
      <c r="F419" s="19">
        <v>15</v>
      </c>
      <c r="G419" s="70"/>
      <c r="H419" s="65">
        <v>27</v>
      </c>
      <c r="I419" s="46">
        <f t="shared" si="55"/>
        <v>0.48140999999999995</v>
      </c>
    </row>
    <row r="420" spans="2:9" x14ac:dyDescent="0.25">
      <c r="C420" s="69"/>
      <c r="D420" s="7" t="s">
        <v>216</v>
      </c>
      <c r="E420" s="19">
        <v>5.33</v>
      </c>
      <c r="F420" s="19">
        <v>5.33</v>
      </c>
      <c r="G420" s="70"/>
      <c r="H420" s="65">
        <v>163</v>
      </c>
      <c r="I420" s="46">
        <f t="shared" si="55"/>
        <v>0.86879000000000006</v>
      </c>
    </row>
    <row r="421" spans="2:9" x14ac:dyDescent="0.25">
      <c r="C421" s="69"/>
      <c r="D421" s="7" t="s">
        <v>33</v>
      </c>
      <c r="E421" s="19">
        <v>1.67</v>
      </c>
      <c r="F421" s="19">
        <v>1.67</v>
      </c>
      <c r="G421" s="70"/>
      <c r="H421" s="65">
        <v>80</v>
      </c>
      <c r="I421" s="46">
        <f t="shared" si="55"/>
        <v>0.1336</v>
      </c>
    </row>
    <row r="422" spans="2:9" x14ac:dyDescent="0.25">
      <c r="C422" s="69"/>
      <c r="D422" s="7" t="s">
        <v>34</v>
      </c>
      <c r="E422" s="19">
        <v>0.83</v>
      </c>
      <c r="F422" s="19">
        <v>0.83</v>
      </c>
      <c r="G422" s="70"/>
      <c r="H422" s="65">
        <v>20</v>
      </c>
      <c r="I422" s="46">
        <f t="shared" si="55"/>
        <v>1.66E-2</v>
      </c>
    </row>
    <row r="423" spans="2:9" x14ac:dyDescent="0.25">
      <c r="C423" s="69"/>
      <c r="D423" s="56" t="s">
        <v>207</v>
      </c>
      <c r="E423" s="19" t="s">
        <v>35</v>
      </c>
      <c r="F423" s="19" t="s">
        <v>35</v>
      </c>
      <c r="G423" s="70"/>
      <c r="I423" s="99">
        <f>SUM(I416:I422)</f>
        <v>30.643150000000002</v>
      </c>
    </row>
    <row r="424" spans="2:9" x14ac:dyDescent="0.25">
      <c r="D424" s="72"/>
      <c r="E424" s="72"/>
      <c r="F424" s="72"/>
    </row>
    <row r="425" spans="2:9" ht="25.5" x14ac:dyDescent="0.25">
      <c r="B425" s="65" t="s">
        <v>184</v>
      </c>
      <c r="C425" s="69">
        <v>200</v>
      </c>
      <c r="D425" s="7" t="s">
        <v>183</v>
      </c>
      <c r="E425" s="182">
        <v>24</v>
      </c>
      <c r="F425" s="182">
        <v>24</v>
      </c>
      <c r="G425" s="70"/>
      <c r="H425" s="65">
        <v>209.09</v>
      </c>
      <c r="I425" s="46">
        <f t="shared" ref="I425:I427" si="56">H425/1000*E425</f>
        <v>5.01816</v>
      </c>
    </row>
    <row r="426" spans="2:9" x14ac:dyDescent="0.25">
      <c r="C426" s="69"/>
      <c r="D426" s="7" t="s">
        <v>33</v>
      </c>
      <c r="E426" s="182">
        <v>10</v>
      </c>
      <c r="F426" s="182">
        <v>10</v>
      </c>
      <c r="G426" s="70"/>
      <c r="H426" s="65">
        <v>80</v>
      </c>
      <c r="I426" s="46">
        <f t="shared" si="56"/>
        <v>0.8</v>
      </c>
    </row>
    <row r="427" spans="2:9" x14ac:dyDescent="0.25">
      <c r="C427" s="69"/>
      <c r="D427" s="7" t="s">
        <v>32</v>
      </c>
      <c r="E427" s="182">
        <v>190</v>
      </c>
      <c r="F427" s="182">
        <v>190</v>
      </c>
      <c r="G427" s="70"/>
      <c r="I427" s="46">
        <f t="shared" si="56"/>
        <v>0</v>
      </c>
    </row>
    <row r="428" spans="2:9" x14ac:dyDescent="0.25">
      <c r="C428" s="69"/>
      <c r="D428" s="56" t="s">
        <v>154</v>
      </c>
      <c r="E428" s="182" t="s">
        <v>35</v>
      </c>
      <c r="F428" s="182" t="s">
        <v>35</v>
      </c>
      <c r="G428" s="70"/>
      <c r="I428" s="99">
        <f>SUM(I425:I427)</f>
        <v>5.8181599999999998</v>
      </c>
    </row>
    <row r="429" spans="2:9" x14ac:dyDescent="0.25">
      <c r="D429" s="72"/>
      <c r="E429" s="72"/>
      <c r="F429" s="72"/>
    </row>
    <row r="430" spans="2:9" x14ac:dyDescent="0.25">
      <c r="B430" s="5" t="s">
        <v>90</v>
      </c>
      <c r="C430" s="8">
        <v>30</v>
      </c>
      <c r="D430" s="5" t="s">
        <v>90</v>
      </c>
      <c r="E430" s="8">
        <v>30</v>
      </c>
      <c r="F430" s="5"/>
      <c r="G430" s="5"/>
      <c r="H430" s="5">
        <v>55.1</v>
      </c>
      <c r="I430" s="51">
        <f t="shared" ref="I430" si="57">H430/1000*E430</f>
        <v>1.653</v>
      </c>
    </row>
    <row r="431" spans="2:9" x14ac:dyDescent="0.25">
      <c r="I431" s="238"/>
    </row>
    <row r="432" spans="2:9" x14ac:dyDescent="0.25">
      <c r="B432" s="65" t="s">
        <v>145</v>
      </c>
      <c r="C432" s="65">
        <v>40</v>
      </c>
      <c r="D432" s="65" t="s">
        <v>145</v>
      </c>
      <c r="E432" s="65">
        <v>40</v>
      </c>
      <c r="H432" s="65">
        <v>35.9</v>
      </c>
      <c r="I432" s="51">
        <f t="shared" ref="I432" si="58">H432/1000*E432</f>
        <v>1.4359999999999999</v>
      </c>
    </row>
  </sheetData>
  <mergeCells count="13">
    <mergeCell ref="A1:I1"/>
    <mergeCell ref="E342:F342"/>
    <mergeCell ref="E46:F46"/>
    <mergeCell ref="E226:F226"/>
    <mergeCell ref="B2:B4"/>
    <mergeCell ref="C2:C4"/>
    <mergeCell ref="D2:D4"/>
    <mergeCell ref="E2:F2"/>
    <mergeCell ref="I2:I4"/>
    <mergeCell ref="E3:F3"/>
    <mergeCell ref="E20:F20"/>
    <mergeCell ref="E26:F26"/>
    <mergeCell ref="H2:H4"/>
  </mergeCells>
  <pageMargins left="0.7" right="0.7" top="0.75" bottom="0.75" header="0.3" footer="0.3"/>
  <pageSetup paperSize="9" scale="47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4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18" sqref="E18"/>
    </sheetView>
  </sheetViews>
  <sheetFormatPr defaultRowHeight="15" x14ac:dyDescent="0.25"/>
  <cols>
    <col min="2" max="2" width="5.7109375" style="117" customWidth="1"/>
    <col min="3" max="3" width="37.140625" customWidth="1"/>
    <col min="4" max="4" width="8" customWidth="1"/>
    <col min="5" max="6" width="9.140625" customWidth="1"/>
    <col min="7" max="7" width="9.85546875" customWidth="1"/>
    <col min="8" max="8" width="9.140625" hidden="1" customWidth="1"/>
    <col min="9" max="9" width="9.140625" customWidth="1"/>
    <col min="10" max="10" width="10.5703125" customWidth="1"/>
    <col min="13" max="13" width="10.7109375" customWidth="1"/>
    <col min="14" max="14" width="0" hidden="1" customWidth="1"/>
  </cols>
  <sheetData>
    <row r="1" spans="2:15" x14ac:dyDescent="0.25">
      <c r="D1" s="222" t="s">
        <v>282</v>
      </c>
      <c r="E1" s="222"/>
      <c r="F1" s="222"/>
      <c r="G1" s="222"/>
      <c r="H1" s="222"/>
      <c r="I1" s="222"/>
      <c r="J1" s="223" t="s">
        <v>283</v>
      </c>
      <c r="K1" s="223"/>
      <c r="L1" s="223"/>
      <c r="M1" s="223"/>
      <c r="N1" s="223"/>
      <c r="O1" s="223"/>
    </row>
    <row r="2" spans="2:15" ht="30.75" customHeight="1" x14ac:dyDescent="0.25">
      <c r="B2" s="230" t="s">
        <v>253</v>
      </c>
      <c r="C2" s="231" t="s">
        <v>254</v>
      </c>
      <c r="D2" s="228" t="s">
        <v>258</v>
      </c>
      <c r="E2" s="228" t="s">
        <v>255</v>
      </c>
      <c r="F2" s="228" t="s">
        <v>286</v>
      </c>
      <c r="G2" s="224" t="s">
        <v>284</v>
      </c>
      <c r="H2" s="228" t="s">
        <v>256</v>
      </c>
      <c r="I2" s="228" t="s">
        <v>257</v>
      </c>
      <c r="J2" s="229" t="s">
        <v>258</v>
      </c>
      <c r="K2" s="229" t="s">
        <v>255</v>
      </c>
      <c r="L2" s="229" t="s">
        <v>285</v>
      </c>
      <c r="M2" s="226" t="s">
        <v>284</v>
      </c>
      <c r="N2" s="229" t="s">
        <v>256</v>
      </c>
      <c r="O2" s="229" t="s">
        <v>257</v>
      </c>
    </row>
    <row r="3" spans="2:15" ht="15.75" customHeight="1" x14ac:dyDescent="0.25">
      <c r="B3" s="230"/>
      <c r="C3" s="231"/>
      <c r="D3" s="228"/>
      <c r="E3" s="228"/>
      <c r="F3" s="228"/>
      <c r="G3" s="225"/>
      <c r="H3" s="228"/>
      <c r="I3" s="228"/>
      <c r="J3" s="229"/>
      <c r="K3" s="229"/>
      <c r="L3" s="229"/>
      <c r="M3" s="227"/>
      <c r="N3" s="229"/>
      <c r="O3" s="229"/>
    </row>
    <row r="4" spans="2:15" ht="15.75" x14ac:dyDescent="0.25">
      <c r="B4" s="118">
        <v>1</v>
      </c>
      <c r="C4" s="116" t="s">
        <v>259</v>
      </c>
      <c r="D4" s="65">
        <v>80</v>
      </c>
      <c r="E4">
        <v>400</v>
      </c>
      <c r="F4" s="65">
        <f>E4/10</f>
        <v>40</v>
      </c>
      <c r="G4" s="65">
        <f>D4/100*60</f>
        <v>48</v>
      </c>
      <c r="H4" s="119">
        <f>G4-F4</f>
        <v>8</v>
      </c>
      <c r="I4" s="120">
        <f>F4/G4*100</f>
        <v>83.333333333333343</v>
      </c>
      <c r="J4" s="65">
        <v>120</v>
      </c>
      <c r="K4" s="119">
        <v>400</v>
      </c>
      <c r="L4" s="119">
        <f>K4/10</f>
        <v>40</v>
      </c>
      <c r="M4" s="65">
        <f>J4/100*60</f>
        <v>72</v>
      </c>
      <c r="N4" s="119">
        <f>M4-L4</f>
        <v>32</v>
      </c>
      <c r="O4" s="121">
        <f>L4/M2:M4*100</f>
        <v>55.555555555555557</v>
      </c>
    </row>
    <row r="5" spans="2:15" ht="15.75" x14ac:dyDescent="0.25">
      <c r="B5" s="118">
        <v>2</v>
      </c>
      <c r="C5" s="116" t="s">
        <v>4</v>
      </c>
      <c r="D5" s="65">
        <v>150</v>
      </c>
      <c r="E5" s="65">
        <f>'расчет обед 1-4'!E29+'расчет обед 1-4'!E194+'расчет обед 1-4'!E38+'расчет обед 1-4'!E79+'расчет обед 1-4'!E123+'расчет обед 1-4'!E160+'расчет обед 1-4'!E210+'расчет обед 1-4'!E246+'расчет обед 1-4'!E300+'расчет обед 1-4'!E339+'расчет обед 1-4'!E392+'расчет обед 1-4'!E439</f>
        <v>393.25</v>
      </c>
      <c r="F5" s="65">
        <f>E5/10</f>
        <v>39.325000000000003</v>
      </c>
      <c r="G5" s="65">
        <f t="shared" ref="G5:G34" si="0">D5/100*60</f>
        <v>90</v>
      </c>
      <c r="H5" s="119">
        <f t="shared" ref="H5:H34" si="1">G5-F5</f>
        <v>50.674999999999997</v>
      </c>
      <c r="I5" s="120">
        <f t="shared" ref="I5:I34" si="2">F5/G5*100</f>
        <v>43.69444444444445</v>
      </c>
      <c r="J5" s="65">
        <v>200</v>
      </c>
      <c r="K5" s="65" t="e">
        <f>'расчет завтрак'!F6+'расчет завтрак'!F35+'расчет завтрак'!F53+'расчет завтрак'!F99+'расчет завтрак'!F119+'расчет завтрак'!F143+'расчет завтрак'!#REF!+'расчет завтрак'!#REF!+'расчет завтрак'!F174+'расчет обед 5-11'!E29+'расчет обед 5-11'!E77+'расчет обед 5-11'!E120+'расчет обед 5-11'!E157+'расчет обед 5-11'!E187+'расчет обед 5-11'!E203+'расчет обед 5-11'!E244+'расчет обед 5-11'!E292+'расчет обед 5-11'!E333+'расчет обед 5-11'!E385+'расчет обед 5-11'!E430</f>
        <v>#REF!</v>
      </c>
      <c r="L5" s="65" t="e">
        <f t="shared" ref="L5:L34" si="3">K5/10</f>
        <v>#REF!</v>
      </c>
      <c r="M5" s="65">
        <f t="shared" ref="M5:M34" si="4">J5/100*60</f>
        <v>120</v>
      </c>
      <c r="N5" s="119" t="e">
        <f t="shared" ref="N5:N34" si="5">M5-L5</f>
        <v>#REF!</v>
      </c>
      <c r="O5" s="121" t="e">
        <f t="shared" ref="O5:O34" si="6">L5/M3:M5*100</f>
        <v>#REF!</v>
      </c>
    </row>
    <row r="6" spans="2:15" ht="15.75" x14ac:dyDescent="0.25">
      <c r="B6" s="118">
        <v>3</v>
      </c>
      <c r="C6" s="116" t="s">
        <v>203</v>
      </c>
      <c r="D6" s="65">
        <v>15</v>
      </c>
      <c r="E6" s="65" t="e">
        <f>'расчет обед 1-4'!E150+'расчет обед 1-4'!E287+'расчет обед 1-4'!E290+'расчет обед 1-4'!E328+'расчет обед 1-4'!#REF!</f>
        <v>#REF!</v>
      </c>
      <c r="F6" s="65" t="e">
        <f t="shared" ref="F6:F34" si="7">E6/10</f>
        <v>#REF!</v>
      </c>
      <c r="G6" s="65">
        <f t="shared" si="0"/>
        <v>9</v>
      </c>
      <c r="H6" s="119" t="e">
        <f t="shared" si="1"/>
        <v>#REF!</v>
      </c>
      <c r="I6" s="120" t="e">
        <f t="shared" si="2"/>
        <v>#REF!</v>
      </c>
      <c r="J6" s="65">
        <v>20</v>
      </c>
      <c r="K6" s="65" t="e">
        <f>'расчет обед 5-11'!E147+'расчет обед 5-11'!E282+'расчет обед 5-11'!E279+'расчет обед 5-11'!#REF!+'расчет обед 5-11'!E316</f>
        <v>#REF!</v>
      </c>
      <c r="L6" s="65" t="e">
        <f t="shared" si="3"/>
        <v>#REF!</v>
      </c>
      <c r="M6" s="65">
        <f t="shared" si="4"/>
        <v>12</v>
      </c>
      <c r="N6" s="119" t="e">
        <f t="shared" si="5"/>
        <v>#REF!</v>
      </c>
      <c r="O6" s="121" t="e">
        <f t="shared" si="6"/>
        <v>#REF!</v>
      </c>
    </row>
    <row r="7" spans="2:15" ht="15.75" x14ac:dyDescent="0.25">
      <c r="B7" s="118">
        <v>4</v>
      </c>
      <c r="C7" s="116" t="s">
        <v>260</v>
      </c>
      <c r="D7" s="65">
        <v>45</v>
      </c>
      <c r="E7" s="65"/>
      <c r="F7" s="65">
        <f t="shared" si="7"/>
        <v>0</v>
      </c>
      <c r="G7" s="65">
        <f t="shared" si="0"/>
        <v>27</v>
      </c>
      <c r="H7" s="119">
        <f t="shared" si="1"/>
        <v>27</v>
      </c>
      <c r="I7" s="120">
        <f t="shared" si="2"/>
        <v>0</v>
      </c>
      <c r="J7" s="65">
        <v>50</v>
      </c>
      <c r="K7" s="65"/>
      <c r="L7" s="65">
        <f t="shared" si="3"/>
        <v>0</v>
      </c>
      <c r="M7" s="65">
        <f t="shared" si="4"/>
        <v>30</v>
      </c>
      <c r="N7" s="119">
        <f t="shared" si="5"/>
        <v>30</v>
      </c>
      <c r="O7" s="121">
        <f t="shared" si="6"/>
        <v>0</v>
      </c>
    </row>
    <row r="8" spans="2:15" ht="15.75" x14ac:dyDescent="0.25">
      <c r="B8" s="118">
        <v>5</v>
      </c>
      <c r="C8" s="116" t="s">
        <v>166</v>
      </c>
      <c r="D8" s="65">
        <v>15</v>
      </c>
      <c r="E8" s="65" t="e">
        <f>'расчет обед 1-4'!S97+'расчет обед 1-4'!E133+'расчет обед 1-4'!E229+'расчет завтрак'!F30+'расчет завтрак'!#REF!</f>
        <v>#REF!</v>
      </c>
      <c r="F8" s="65" t="e">
        <f t="shared" si="7"/>
        <v>#REF!</v>
      </c>
      <c r="G8" s="65">
        <f t="shared" si="0"/>
        <v>9</v>
      </c>
      <c r="H8" s="119" t="e">
        <f t="shared" si="1"/>
        <v>#REF!</v>
      </c>
      <c r="I8" s="120" t="e">
        <f t="shared" si="2"/>
        <v>#REF!</v>
      </c>
      <c r="J8" s="65">
        <v>20</v>
      </c>
      <c r="K8" s="65" t="e">
        <f>'расчет завтрак'!F30+'расчет завтрак'!#REF!+'расчет обед 5-11'!#REF!+'расчет обед 5-11'!#REF!+'расчет обед 5-11'!E228</f>
        <v>#REF!</v>
      </c>
      <c r="L8" s="65" t="e">
        <f t="shared" si="3"/>
        <v>#REF!</v>
      </c>
      <c r="M8" s="65">
        <f t="shared" si="4"/>
        <v>12</v>
      </c>
      <c r="N8" s="119" t="e">
        <f t="shared" si="5"/>
        <v>#REF!</v>
      </c>
      <c r="O8" s="121" t="e">
        <f t="shared" si="6"/>
        <v>#REF!</v>
      </c>
    </row>
    <row r="9" spans="2:15" ht="15.75" x14ac:dyDescent="0.25">
      <c r="B9" s="118">
        <v>6</v>
      </c>
      <c r="C9" s="116" t="s">
        <v>130</v>
      </c>
      <c r="D9" s="65">
        <v>187</v>
      </c>
      <c r="E9" s="65" t="e">
        <f>'расчет обед 1-4'!E12+'расчет обед 1-4'!E48+'расчет обед 1-4'!E60+'расчет обед 1-4'!S96+'расчет обед 1-4'!E141+'расчет обед 1-4'!E175+'расчет обед 1-4'!E218+'расчет обед 1-4'!E266+'расчет обед 1-4'!E276+'расчет обед 1-4'!E311+'расчет обед 1-4'!E353+'расчет обед 1-4'!#REF!+'расчет обед 1-4'!E408</f>
        <v>#REF!</v>
      </c>
      <c r="F9" s="65" t="e">
        <f t="shared" si="7"/>
        <v>#REF!</v>
      </c>
      <c r="G9" s="65">
        <f t="shared" si="0"/>
        <v>112.2</v>
      </c>
      <c r="H9" s="119" t="e">
        <f t="shared" si="1"/>
        <v>#REF!</v>
      </c>
      <c r="I9" s="120" t="e">
        <f t="shared" si="2"/>
        <v>#REF!</v>
      </c>
      <c r="J9" s="65">
        <v>187</v>
      </c>
      <c r="K9" s="65" t="e">
        <f>'расчет обед 5-11'!E12+'расчет обед 5-11'!E48+'расчет обед 5-11'!E59+'расчет обед 5-11'!#REF!+'расчет обед 5-11'!E138+'расчет обед 5-11'!E168+'расчет обед 5-11'!E127+'расчет обед 5-11'!#REF!+'расчет обед 5-11'!E267+'расчет обед 5-11'!E303+'расчет обед 5-11'!E347+'расчет обед 5-11'!E315+'расчет обед 5-11'!E252</f>
        <v>#REF!</v>
      </c>
      <c r="L9" s="65" t="e">
        <f t="shared" si="3"/>
        <v>#REF!</v>
      </c>
      <c r="M9" s="65">
        <f t="shared" si="4"/>
        <v>112.2</v>
      </c>
      <c r="N9" s="119" t="e">
        <f t="shared" si="5"/>
        <v>#REF!</v>
      </c>
      <c r="O9" s="121" t="e">
        <f t="shared" si="6"/>
        <v>#REF!</v>
      </c>
    </row>
    <row r="10" spans="2:15" ht="19.5" customHeight="1" x14ac:dyDescent="0.25">
      <c r="B10" s="118">
        <v>7</v>
      </c>
      <c r="C10" s="116" t="s">
        <v>261</v>
      </c>
      <c r="D10" s="65">
        <v>280</v>
      </c>
      <c r="E10" s="65"/>
      <c r="F10" s="65">
        <f t="shared" si="7"/>
        <v>0</v>
      </c>
      <c r="G10" s="65">
        <f t="shared" si="0"/>
        <v>168</v>
      </c>
      <c r="H10" s="119">
        <f t="shared" si="1"/>
        <v>168</v>
      </c>
      <c r="I10" s="120">
        <f t="shared" si="2"/>
        <v>0</v>
      </c>
      <c r="J10" s="65">
        <v>320</v>
      </c>
      <c r="K10" s="65"/>
      <c r="L10" s="65">
        <f t="shared" si="3"/>
        <v>0</v>
      </c>
      <c r="M10" s="65">
        <f t="shared" si="4"/>
        <v>192</v>
      </c>
      <c r="N10" s="119">
        <f t="shared" si="5"/>
        <v>192</v>
      </c>
      <c r="O10" s="121">
        <f t="shared" si="6"/>
        <v>0</v>
      </c>
    </row>
    <row r="11" spans="2:15" ht="15.75" x14ac:dyDescent="0.25">
      <c r="B11" s="118">
        <v>8</v>
      </c>
      <c r="C11" s="116" t="s">
        <v>262</v>
      </c>
      <c r="D11" s="65">
        <v>185</v>
      </c>
      <c r="E11" s="65">
        <v>1000</v>
      </c>
      <c r="F11" s="65">
        <f t="shared" si="7"/>
        <v>100</v>
      </c>
      <c r="G11" s="65">
        <f t="shared" si="0"/>
        <v>111</v>
      </c>
      <c r="H11" s="119">
        <f t="shared" si="1"/>
        <v>11</v>
      </c>
      <c r="I11" s="120">
        <f t="shared" si="2"/>
        <v>90.090090090090087</v>
      </c>
      <c r="J11" s="65">
        <v>185</v>
      </c>
      <c r="K11" s="65">
        <v>1000</v>
      </c>
      <c r="L11" s="65">
        <f t="shared" si="3"/>
        <v>100</v>
      </c>
      <c r="M11" s="65">
        <f t="shared" si="4"/>
        <v>111</v>
      </c>
      <c r="N11" s="119">
        <f t="shared" si="5"/>
        <v>11</v>
      </c>
      <c r="O11" s="121">
        <f t="shared" si="6"/>
        <v>90.090090090090087</v>
      </c>
    </row>
    <row r="12" spans="2:15" ht="15.75" x14ac:dyDescent="0.25">
      <c r="B12" s="118">
        <v>9</v>
      </c>
      <c r="C12" s="116" t="s">
        <v>263</v>
      </c>
      <c r="D12" s="65">
        <v>15</v>
      </c>
      <c r="E12" s="65"/>
      <c r="F12" s="65">
        <f t="shared" si="7"/>
        <v>0</v>
      </c>
      <c r="G12" s="65">
        <f t="shared" si="0"/>
        <v>9</v>
      </c>
      <c r="H12" s="119">
        <f t="shared" si="1"/>
        <v>9</v>
      </c>
      <c r="I12" s="120">
        <f t="shared" si="2"/>
        <v>0</v>
      </c>
      <c r="J12" s="65">
        <v>20</v>
      </c>
      <c r="K12" s="65"/>
      <c r="L12" s="65">
        <f t="shared" si="3"/>
        <v>0</v>
      </c>
      <c r="M12" s="65">
        <f t="shared" si="4"/>
        <v>12</v>
      </c>
      <c r="N12" s="119">
        <f t="shared" si="5"/>
        <v>12</v>
      </c>
      <c r="O12" s="121">
        <f t="shared" si="6"/>
        <v>0</v>
      </c>
    </row>
    <row r="13" spans="2:15" ht="15.75" x14ac:dyDescent="0.25">
      <c r="B13" s="118">
        <v>10</v>
      </c>
      <c r="C13" s="116" t="s">
        <v>264</v>
      </c>
      <c r="D13" s="65">
        <v>200</v>
      </c>
      <c r="E13" s="65"/>
      <c r="F13" s="65">
        <f t="shared" si="7"/>
        <v>0</v>
      </c>
      <c r="G13" s="65">
        <f t="shared" si="0"/>
        <v>120</v>
      </c>
      <c r="H13" s="119">
        <f t="shared" si="1"/>
        <v>120</v>
      </c>
      <c r="I13" s="120">
        <f t="shared" si="2"/>
        <v>0</v>
      </c>
      <c r="J13" s="65">
        <v>200</v>
      </c>
      <c r="K13" s="65"/>
      <c r="L13" s="65">
        <f t="shared" si="3"/>
        <v>0</v>
      </c>
      <c r="M13" s="65">
        <f t="shared" si="4"/>
        <v>120</v>
      </c>
      <c r="N13" s="119">
        <f t="shared" si="5"/>
        <v>120</v>
      </c>
      <c r="O13" s="121">
        <f t="shared" si="6"/>
        <v>0</v>
      </c>
    </row>
    <row r="14" spans="2:15" ht="15.75" x14ac:dyDescent="0.25">
      <c r="B14" s="118">
        <v>11</v>
      </c>
      <c r="C14" s="116" t="s">
        <v>265</v>
      </c>
      <c r="D14" s="65">
        <v>70</v>
      </c>
      <c r="E14" s="65"/>
      <c r="F14" s="65">
        <f t="shared" si="7"/>
        <v>0</v>
      </c>
      <c r="G14" s="65">
        <f t="shared" si="0"/>
        <v>42</v>
      </c>
      <c r="H14" s="119">
        <f t="shared" si="1"/>
        <v>42</v>
      </c>
      <c r="I14" s="120">
        <f t="shared" si="2"/>
        <v>0</v>
      </c>
      <c r="J14" s="65">
        <v>78</v>
      </c>
      <c r="K14" s="65"/>
      <c r="L14" s="65">
        <f t="shared" si="3"/>
        <v>0</v>
      </c>
      <c r="M14" s="65">
        <f t="shared" si="4"/>
        <v>46.800000000000004</v>
      </c>
      <c r="N14" s="119">
        <f t="shared" si="5"/>
        <v>46.800000000000004</v>
      </c>
      <c r="O14" s="121">
        <f t="shared" si="6"/>
        <v>0</v>
      </c>
    </row>
    <row r="15" spans="2:15" ht="15.75" x14ac:dyDescent="0.25">
      <c r="B15" s="118">
        <v>12</v>
      </c>
      <c r="C15" s="116" t="s">
        <v>266</v>
      </c>
      <c r="D15" s="65">
        <v>30</v>
      </c>
      <c r="E15" s="65"/>
      <c r="F15" s="65">
        <f t="shared" si="7"/>
        <v>0</v>
      </c>
      <c r="G15" s="65">
        <f t="shared" si="0"/>
        <v>18</v>
      </c>
      <c r="H15" s="119">
        <f t="shared" si="1"/>
        <v>18</v>
      </c>
      <c r="I15" s="120">
        <f t="shared" si="2"/>
        <v>0</v>
      </c>
      <c r="J15" s="65">
        <v>40</v>
      </c>
      <c r="K15" s="65"/>
      <c r="L15" s="65">
        <f t="shared" si="3"/>
        <v>0</v>
      </c>
      <c r="M15" s="65">
        <f t="shared" si="4"/>
        <v>24</v>
      </c>
      <c r="N15" s="119">
        <f t="shared" si="5"/>
        <v>24</v>
      </c>
      <c r="O15" s="121">
        <f t="shared" si="6"/>
        <v>0</v>
      </c>
    </row>
    <row r="16" spans="2:15" ht="21.75" customHeight="1" x14ac:dyDescent="0.25">
      <c r="B16" s="118">
        <v>13</v>
      </c>
      <c r="C16" s="116" t="s">
        <v>267</v>
      </c>
      <c r="D16" s="65">
        <v>35</v>
      </c>
      <c r="E16" s="65"/>
      <c r="F16" s="65">
        <f t="shared" si="7"/>
        <v>0</v>
      </c>
      <c r="G16" s="65">
        <f t="shared" si="0"/>
        <v>21</v>
      </c>
      <c r="H16" s="119">
        <f t="shared" si="1"/>
        <v>21</v>
      </c>
      <c r="I16" s="120">
        <f t="shared" si="2"/>
        <v>0</v>
      </c>
      <c r="J16" s="65">
        <v>53</v>
      </c>
      <c r="K16" s="65"/>
      <c r="L16" s="65">
        <f t="shared" si="3"/>
        <v>0</v>
      </c>
      <c r="M16" s="65">
        <f t="shared" si="4"/>
        <v>31.8</v>
      </c>
      <c r="N16" s="119">
        <f t="shared" si="5"/>
        <v>31.8</v>
      </c>
      <c r="O16" s="121">
        <f t="shared" si="6"/>
        <v>0</v>
      </c>
    </row>
    <row r="17" spans="2:15" ht="17.25" customHeight="1" x14ac:dyDescent="0.25">
      <c r="B17" s="118">
        <v>14</v>
      </c>
      <c r="C17" s="116" t="s">
        <v>268</v>
      </c>
      <c r="D17" s="65">
        <v>58</v>
      </c>
      <c r="E17" s="65"/>
      <c r="F17" s="65">
        <f t="shared" si="7"/>
        <v>0</v>
      </c>
      <c r="G17" s="65">
        <f t="shared" si="0"/>
        <v>34.799999999999997</v>
      </c>
      <c r="H17" s="119">
        <f t="shared" si="1"/>
        <v>34.799999999999997</v>
      </c>
      <c r="I17" s="120">
        <f t="shared" si="2"/>
        <v>0</v>
      </c>
      <c r="J17" s="65">
        <v>77</v>
      </c>
      <c r="K17" s="65"/>
      <c r="L17" s="65">
        <f t="shared" si="3"/>
        <v>0</v>
      </c>
      <c r="M17" s="65">
        <f t="shared" si="4"/>
        <v>46.2</v>
      </c>
      <c r="N17" s="119">
        <f t="shared" si="5"/>
        <v>46.2</v>
      </c>
      <c r="O17" s="121">
        <f t="shared" si="6"/>
        <v>0</v>
      </c>
    </row>
    <row r="18" spans="2:15" ht="20.25" customHeight="1" x14ac:dyDescent="0.25">
      <c r="B18" s="118">
        <v>15</v>
      </c>
      <c r="C18" s="116" t="s">
        <v>31</v>
      </c>
      <c r="D18" s="65">
        <v>300</v>
      </c>
      <c r="E18" s="65" t="e">
        <f>'расчет завтрак'!F12+'расчет завтрак'!D26+'расчет завтрак'!D44+'расчет завтрак'!F48+'расчет завтрак'!D62+'расчет завтрак'!D87+'расчет завтрак'!F91+'расчет завтрак'!D108+'расчет завтрак'!F113+'расчет завтрак'!D128+'расчет завтрак'!F132+'расчет завтрак'!D149+'расчет завтрак'!F153+'расчет завтрак'!#REF!+'расчет завтрак'!D158+'расчет завтрак'!D183+'расчет обед 1-4'!E30+'расчет обед 1-4'!E142+'расчет обед 1-4'!E195+'расчет обед 1-4'!E277</f>
        <v>#VALUE!</v>
      </c>
      <c r="F18" s="65" t="e">
        <f t="shared" si="7"/>
        <v>#VALUE!</v>
      </c>
      <c r="G18" s="65">
        <f t="shared" si="0"/>
        <v>180</v>
      </c>
      <c r="H18" s="119" t="e">
        <f t="shared" si="1"/>
        <v>#VALUE!</v>
      </c>
      <c r="I18" s="120" t="e">
        <f t="shared" si="2"/>
        <v>#VALUE!</v>
      </c>
      <c r="J18" s="65">
        <v>350</v>
      </c>
      <c r="K18" s="65" t="e">
        <f>'расчет завтрак'!F12+'расчет завтрак'!F48+'расчет завтрак'!D26+'расчет завтрак'!D44+'расчет завтрак'!D62+'расчет завтрак'!D87+'расчет завтрак'!F91+'расчет завтрак'!D108+'расчет завтрак'!F113+'расчет завтрак'!D128+'расчет завтрак'!F132+'расчет завтрак'!D149+'расчет завтрак'!F153+'расчет завтрак'!#REF!+'расчет завтрак'!D158+'расчет завтрак'!D183+'расчет обед 5-11'!E30+'расчет обед 5-11'!E139+'расчет обед 5-11'!E188+'расчет обед 5-11'!E268</f>
        <v>#VALUE!</v>
      </c>
      <c r="L18" s="65" t="e">
        <f t="shared" si="3"/>
        <v>#VALUE!</v>
      </c>
      <c r="M18" s="65">
        <f t="shared" si="4"/>
        <v>210</v>
      </c>
      <c r="N18" s="119" t="e">
        <f t="shared" si="5"/>
        <v>#VALUE!</v>
      </c>
      <c r="O18" s="121" t="e">
        <f t="shared" si="6"/>
        <v>#VALUE!</v>
      </c>
    </row>
    <row r="19" spans="2:15" ht="21" customHeight="1" x14ac:dyDescent="0.25">
      <c r="B19" s="118">
        <v>16</v>
      </c>
      <c r="C19" s="116" t="s">
        <v>269</v>
      </c>
      <c r="D19" s="65">
        <v>150</v>
      </c>
      <c r="E19" s="65"/>
      <c r="F19" s="65">
        <f t="shared" si="7"/>
        <v>0</v>
      </c>
      <c r="G19" s="65">
        <f t="shared" si="0"/>
        <v>90</v>
      </c>
      <c r="H19" s="119">
        <f t="shared" si="1"/>
        <v>90</v>
      </c>
      <c r="I19" s="120">
        <f t="shared" si="2"/>
        <v>0</v>
      </c>
      <c r="J19" s="65">
        <v>180</v>
      </c>
      <c r="K19" s="65"/>
      <c r="L19" s="65">
        <f t="shared" si="3"/>
        <v>0</v>
      </c>
      <c r="M19" s="65">
        <f t="shared" si="4"/>
        <v>108</v>
      </c>
      <c r="N19" s="119">
        <f t="shared" si="5"/>
        <v>108</v>
      </c>
      <c r="O19" s="121">
        <f t="shared" si="6"/>
        <v>0</v>
      </c>
    </row>
    <row r="20" spans="2:15" ht="15.75" x14ac:dyDescent="0.25">
      <c r="B20" s="118">
        <v>17</v>
      </c>
      <c r="C20" s="116" t="s">
        <v>270</v>
      </c>
      <c r="D20" s="65">
        <v>50</v>
      </c>
      <c r="E20" s="65" t="e">
        <f>'расчет завтрак'!F66+'расчет завтрак'!F161</f>
        <v>#VALUE!</v>
      </c>
      <c r="F20" s="65" t="e">
        <f t="shared" si="7"/>
        <v>#VALUE!</v>
      </c>
      <c r="G20" s="65">
        <f t="shared" si="0"/>
        <v>30</v>
      </c>
      <c r="H20" s="119" t="e">
        <f t="shared" si="1"/>
        <v>#VALUE!</v>
      </c>
      <c r="I20" s="120" t="e">
        <f t="shared" si="2"/>
        <v>#VALUE!</v>
      </c>
      <c r="J20" s="65">
        <v>60</v>
      </c>
      <c r="K20" s="65">
        <v>331.76</v>
      </c>
      <c r="L20" s="65">
        <f t="shared" si="3"/>
        <v>33.176000000000002</v>
      </c>
      <c r="M20" s="65">
        <f t="shared" si="4"/>
        <v>36</v>
      </c>
      <c r="N20" s="119">
        <f t="shared" si="5"/>
        <v>2.8239999999999981</v>
      </c>
      <c r="O20" s="121">
        <f t="shared" si="6"/>
        <v>92.155555555555551</v>
      </c>
    </row>
    <row r="21" spans="2:15" ht="15.75" x14ac:dyDescent="0.25">
      <c r="B21" s="118">
        <v>18</v>
      </c>
      <c r="C21" s="116" t="s">
        <v>271</v>
      </c>
      <c r="D21" s="65">
        <v>10</v>
      </c>
      <c r="E21" s="65" t="e">
        <f>'расчет завтрак'!F7+'расчет завтрак'!F32+'расчет завтрак'!F144+'расчет завтрак'!#REF!</f>
        <v>#VALUE!</v>
      </c>
      <c r="F21" s="65" t="e">
        <f t="shared" si="7"/>
        <v>#VALUE!</v>
      </c>
      <c r="G21" s="65">
        <f t="shared" si="0"/>
        <v>6</v>
      </c>
      <c r="H21" s="119" t="e">
        <f t="shared" si="1"/>
        <v>#VALUE!</v>
      </c>
      <c r="I21" s="120" t="e">
        <f t="shared" si="2"/>
        <v>#VALUE!</v>
      </c>
      <c r="J21" s="65">
        <v>15</v>
      </c>
      <c r="K21" s="65">
        <v>72.180000000000007</v>
      </c>
      <c r="L21" s="65">
        <f t="shared" si="3"/>
        <v>7.2180000000000009</v>
      </c>
      <c r="M21" s="65">
        <f t="shared" si="4"/>
        <v>9</v>
      </c>
      <c r="N21" s="119">
        <f t="shared" si="5"/>
        <v>1.7819999999999991</v>
      </c>
      <c r="O21" s="121">
        <f t="shared" si="6"/>
        <v>80.2</v>
      </c>
    </row>
    <row r="22" spans="2:15" ht="15.75" x14ac:dyDescent="0.25">
      <c r="B22" s="118">
        <v>19</v>
      </c>
      <c r="C22" s="116" t="s">
        <v>180</v>
      </c>
      <c r="D22" s="65">
        <v>10</v>
      </c>
      <c r="E22" s="65"/>
      <c r="F22" s="65">
        <f t="shared" si="7"/>
        <v>0</v>
      </c>
      <c r="G22" s="65">
        <f t="shared" si="0"/>
        <v>6</v>
      </c>
      <c r="H22" s="119">
        <f t="shared" si="1"/>
        <v>6</v>
      </c>
      <c r="I22" s="120">
        <f t="shared" si="2"/>
        <v>0</v>
      </c>
      <c r="J22" s="65">
        <v>10</v>
      </c>
      <c r="K22" s="65"/>
      <c r="L22" s="65">
        <f t="shared" si="3"/>
        <v>0</v>
      </c>
      <c r="M22" s="65">
        <f t="shared" si="4"/>
        <v>6</v>
      </c>
      <c r="N22" s="119">
        <f t="shared" si="5"/>
        <v>6</v>
      </c>
      <c r="O22" s="121">
        <f t="shared" si="6"/>
        <v>0</v>
      </c>
    </row>
    <row r="23" spans="2:15" ht="15.75" x14ac:dyDescent="0.25">
      <c r="B23" s="118">
        <v>20</v>
      </c>
      <c r="C23" s="116" t="s">
        <v>22</v>
      </c>
      <c r="D23" s="65">
        <v>30</v>
      </c>
      <c r="E23" s="65"/>
      <c r="F23" s="65">
        <f t="shared" si="7"/>
        <v>0</v>
      </c>
      <c r="G23" s="65">
        <f t="shared" si="0"/>
        <v>18</v>
      </c>
      <c r="H23" s="119">
        <f t="shared" si="1"/>
        <v>18</v>
      </c>
      <c r="I23" s="120">
        <f t="shared" si="2"/>
        <v>0</v>
      </c>
      <c r="J23" s="65">
        <v>35</v>
      </c>
      <c r="K23" s="65"/>
      <c r="L23" s="65">
        <f t="shared" si="3"/>
        <v>0</v>
      </c>
      <c r="M23" s="65">
        <f t="shared" si="4"/>
        <v>21</v>
      </c>
      <c r="N23" s="119">
        <f t="shared" si="5"/>
        <v>21</v>
      </c>
      <c r="O23" s="121">
        <f t="shared" si="6"/>
        <v>0</v>
      </c>
    </row>
    <row r="24" spans="2:15" ht="15.75" x14ac:dyDescent="0.25">
      <c r="B24" s="118">
        <v>21</v>
      </c>
      <c r="C24" s="116" t="s">
        <v>125</v>
      </c>
      <c r="D24" s="65">
        <v>15</v>
      </c>
      <c r="E24" s="65"/>
      <c r="F24" s="65">
        <f t="shared" si="7"/>
        <v>0</v>
      </c>
      <c r="G24" s="65">
        <f t="shared" si="0"/>
        <v>9</v>
      </c>
      <c r="H24" s="119">
        <f t="shared" si="1"/>
        <v>9</v>
      </c>
      <c r="I24" s="120">
        <f t="shared" si="2"/>
        <v>0</v>
      </c>
      <c r="J24" s="65">
        <v>18</v>
      </c>
      <c r="K24" s="65"/>
      <c r="L24" s="65">
        <f t="shared" si="3"/>
        <v>0</v>
      </c>
      <c r="M24" s="65">
        <f t="shared" si="4"/>
        <v>10.799999999999999</v>
      </c>
      <c r="N24" s="119">
        <f t="shared" si="5"/>
        <v>10.799999999999999</v>
      </c>
      <c r="O24" s="121">
        <f t="shared" si="6"/>
        <v>0</v>
      </c>
    </row>
    <row r="25" spans="2:15" ht="15.75" x14ac:dyDescent="0.25">
      <c r="B25" s="118">
        <v>22</v>
      </c>
      <c r="C25" s="116" t="s">
        <v>272</v>
      </c>
      <c r="D25" s="65">
        <v>1</v>
      </c>
      <c r="E25" s="65"/>
      <c r="F25" s="65">
        <f t="shared" si="7"/>
        <v>0</v>
      </c>
      <c r="G25" s="65">
        <f t="shared" si="0"/>
        <v>0.6</v>
      </c>
      <c r="H25" s="119">
        <f t="shared" si="1"/>
        <v>0.6</v>
      </c>
      <c r="I25" s="120">
        <f t="shared" si="2"/>
        <v>0</v>
      </c>
      <c r="J25" s="65">
        <v>1</v>
      </c>
      <c r="K25" s="65"/>
      <c r="L25" s="65">
        <f t="shared" si="3"/>
        <v>0</v>
      </c>
      <c r="M25" s="65">
        <f t="shared" si="4"/>
        <v>0.6</v>
      </c>
      <c r="N25" s="119">
        <f t="shared" si="5"/>
        <v>0.6</v>
      </c>
      <c r="O25" s="121">
        <f t="shared" si="6"/>
        <v>0</v>
      </c>
    </row>
    <row r="26" spans="2:15" ht="18.75" customHeight="1" x14ac:dyDescent="0.25">
      <c r="B26" s="118">
        <v>23</v>
      </c>
      <c r="C26" s="116" t="s">
        <v>273</v>
      </c>
      <c r="D26" s="65">
        <v>30</v>
      </c>
      <c r="E26" s="65" t="e">
        <f>'расчет завтрак'!F13+'расчет завтрак'!F20+'расчет завтрак'!F37+'расчет завтрак'!F55+'расчет завтрак'!F69+'расчет завтрак'!F81+'расчет завтрак'!F92+'расчет завтрак'!F101+'расчет завтрак'!F114+'расчет завтрак'!F121+'расчет завтрак'!F134+'расчет завтрак'!F137+'расчет завтрак'!#REF!+'расчет завтрак'!#REF!+'расчет завтрак'!F164+'расчет завтрак'!F176+'расчет обед 1-4'!E74+'расчет обед 1-4'!E117+'расчет обед 1-4'!E156+'расчет обед 1-4'!E205+'расчет обед 1-4'!#REF!+'расчет обед 1-4'!E337+'расчет обед 1-4'!E388+'расчет обед 1-4'!E399+'расчет обед 1-4'!E433</f>
        <v>#VALUE!</v>
      </c>
      <c r="F26" s="65" t="e">
        <f t="shared" si="7"/>
        <v>#VALUE!</v>
      </c>
      <c r="G26" s="65">
        <f t="shared" si="0"/>
        <v>18</v>
      </c>
      <c r="H26" s="119" t="e">
        <f t="shared" si="1"/>
        <v>#VALUE!</v>
      </c>
      <c r="I26" s="120" t="e">
        <f t="shared" si="2"/>
        <v>#VALUE!</v>
      </c>
      <c r="J26" s="65">
        <v>35</v>
      </c>
      <c r="K26" s="65">
        <v>174.7</v>
      </c>
      <c r="L26" s="65">
        <f t="shared" si="3"/>
        <v>17.47</v>
      </c>
      <c r="M26" s="65">
        <f t="shared" si="4"/>
        <v>21</v>
      </c>
      <c r="N26" s="119">
        <f t="shared" si="5"/>
        <v>3.5300000000000011</v>
      </c>
      <c r="O26" s="121">
        <f t="shared" si="6"/>
        <v>83.190476190476176</v>
      </c>
    </row>
    <row r="27" spans="2:15" ht="15.75" x14ac:dyDescent="0.25">
      <c r="B27" s="118">
        <v>24</v>
      </c>
      <c r="C27" s="116" t="s">
        <v>274</v>
      </c>
      <c r="D27" s="65">
        <v>10</v>
      </c>
      <c r="E27" s="65">
        <v>60</v>
      </c>
      <c r="F27" s="65">
        <f t="shared" si="7"/>
        <v>6</v>
      </c>
      <c r="G27" s="65">
        <f t="shared" si="0"/>
        <v>6</v>
      </c>
      <c r="H27" s="119">
        <f t="shared" si="1"/>
        <v>0</v>
      </c>
      <c r="I27" s="120">
        <f t="shared" si="2"/>
        <v>100</v>
      </c>
      <c r="J27" s="65">
        <v>15</v>
      </c>
      <c r="K27" s="65">
        <v>60</v>
      </c>
      <c r="L27" s="65">
        <f t="shared" si="3"/>
        <v>6</v>
      </c>
      <c r="M27" s="65">
        <f t="shared" si="4"/>
        <v>9</v>
      </c>
      <c r="N27" s="119">
        <f t="shared" si="5"/>
        <v>3</v>
      </c>
      <c r="O27" s="121">
        <f t="shared" si="6"/>
        <v>66.666666666666657</v>
      </c>
    </row>
    <row r="28" spans="2:15" ht="15.75" x14ac:dyDescent="0.25">
      <c r="B28" s="118">
        <v>25</v>
      </c>
      <c r="C28" s="116" t="s">
        <v>275</v>
      </c>
      <c r="D28" s="65">
        <v>1</v>
      </c>
      <c r="E28" s="65" t="e">
        <f>'расчет завтрак'!F22+'расчет завтрак'!F39+'расчет завтрак'!F57+'расчет завтрак'!F83+'расчет завтрак'!F103+'расчет завтрак'!F123+'расчет завтрак'!F139+'расчет завтрак'!#REF!+'расчет завтрак'!#REF!+'расчет завтрак'!F178+'расчет обед 1-4'!E119+'расчет обед 1-4'!#REF!+'расчет обед 1-4'!#REF!+'расчет обед 1-4'!E435</f>
        <v>#VALUE!</v>
      </c>
      <c r="F28" s="65" t="e">
        <f t="shared" si="7"/>
        <v>#VALUE!</v>
      </c>
      <c r="G28" s="65">
        <f t="shared" si="0"/>
        <v>0.6</v>
      </c>
      <c r="H28" s="119" t="e">
        <f t="shared" si="1"/>
        <v>#VALUE!</v>
      </c>
      <c r="I28" s="120" t="e">
        <f t="shared" si="2"/>
        <v>#VALUE!</v>
      </c>
      <c r="J28" s="65">
        <v>2</v>
      </c>
      <c r="K28" s="65">
        <v>14</v>
      </c>
      <c r="L28" s="65">
        <f t="shared" si="3"/>
        <v>1.4</v>
      </c>
      <c r="M28" s="65">
        <f t="shared" si="4"/>
        <v>1.2</v>
      </c>
      <c r="N28" s="119">
        <f t="shared" si="5"/>
        <v>-0.19999999999999996</v>
      </c>
      <c r="O28" s="121">
        <f t="shared" si="6"/>
        <v>116.66666666666667</v>
      </c>
    </row>
    <row r="29" spans="2:15" ht="15.75" x14ac:dyDescent="0.25">
      <c r="B29" s="118">
        <v>26</v>
      </c>
      <c r="C29" s="116" t="s">
        <v>276</v>
      </c>
      <c r="D29" s="65">
        <v>1</v>
      </c>
      <c r="E29" s="65">
        <v>0</v>
      </c>
      <c r="F29" s="65">
        <f t="shared" si="7"/>
        <v>0</v>
      </c>
      <c r="G29" s="65">
        <f t="shared" si="0"/>
        <v>0.6</v>
      </c>
      <c r="H29" s="119">
        <f t="shared" si="1"/>
        <v>0.6</v>
      </c>
      <c r="I29" s="120">
        <f t="shared" si="2"/>
        <v>0</v>
      </c>
      <c r="J29" s="65">
        <v>1.2</v>
      </c>
      <c r="K29" s="65">
        <v>0</v>
      </c>
      <c r="L29" s="65">
        <f t="shared" si="3"/>
        <v>0</v>
      </c>
      <c r="M29" s="65">
        <f t="shared" si="4"/>
        <v>0.72</v>
      </c>
      <c r="N29" s="119">
        <f t="shared" si="5"/>
        <v>0.72</v>
      </c>
      <c r="O29" s="121">
        <f t="shared" si="6"/>
        <v>0</v>
      </c>
    </row>
    <row r="30" spans="2:15" ht="15.75" x14ac:dyDescent="0.25">
      <c r="B30" s="118">
        <v>27</v>
      </c>
      <c r="C30" s="116" t="s">
        <v>277</v>
      </c>
      <c r="D30" s="65">
        <v>2</v>
      </c>
      <c r="E30" s="65">
        <v>0</v>
      </c>
      <c r="F30" s="65">
        <f t="shared" si="7"/>
        <v>0</v>
      </c>
      <c r="G30" s="65">
        <f t="shared" si="0"/>
        <v>1.2</v>
      </c>
      <c r="H30" s="119">
        <f t="shared" si="1"/>
        <v>1.2</v>
      </c>
      <c r="I30" s="120">
        <f t="shared" si="2"/>
        <v>0</v>
      </c>
      <c r="J30" s="65">
        <v>2</v>
      </c>
      <c r="K30" s="65">
        <v>0</v>
      </c>
      <c r="L30" s="65">
        <f t="shared" si="3"/>
        <v>0</v>
      </c>
      <c r="M30" s="65">
        <f t="shared" si="4"/>
        <v>1.2</v>
      </c>
      <c r="N30" s="119">
        <f t="shared" si="5"/>
        <v>1.2</v>
      </c>
      <c r="O30" s="121">
        <f t="shared" si="6"/>
        <v>0</v>
      </c>
    </row>
    <row r="31" spans="2:15" ht="15.75" x14ac:dyDescent="0.25">
      <c r="B31" s="118">
        <v>28</v>
      </c>
      <c r="C31" s="116" t="s">
        <v>278</v>
      </c>
      <c r="D31" s="65">
        <v>0.2</v>
      </c>
      <c r="E31" s="65"/>
      <c r="F31" s="65">
        <f t="shared" si="7"/>
        <v>0</v>
      </c>
      <c r="G31" s="65">
        <f t="shared" si="0"/>
        <v>0.12</v>
      </c>
      <c r="H31" s="119">
        <f t="shared" si="1"/>
        <v>0.12</v>
      </c>
      <c r="I31" s="120">
        <f t="shared" si="2"/>
        <v>0</v>
      </c>
      <c r="J31" s="65">
        <v>0.3</v>
      </c>
      <c r="K31" s="65"/>
      <c r="L31" s="65">
        <f t="shared" si="3"/>
        <v>0</v>
      </c>
      <c r="M31" s="65">
        <f t="shared" si="4"/>
        <v>0.18</v>
      </c>
      <c r="N31" s="119">
        <f t="shared" si="5"/>
        <v>0.18</v>
      </c>
      <c r="O31" s="121">
        <f t="shared" si="6"/>
        <v>0</v>
      </c>
    </row>
    <row r="32" spans="2:15" ht="15.75" x14ac:dyDescent="0.25">
      <c r="B32" s="118">
        <v>29</v>
      </c>
      <c r="C32" s="116" t="s">
        <v>279</v>
      </c>
      <c r="D32" s="65">
        <v>3</v>
      </c>
      <c r="E32" s="65"/>
      <c r="F32" s="65">
        <f t="shared" si="7"/>
        <v>0</v>
      </c>
      <c r="G32" s="65">
        <f t="shared" si="0"/>
        <v>1.7999999999999998</v>
      </c>
      <c r="H32" s="119">
        <f t="shared" si="1"/>
        <v>1.7999999999999998</v>
      </c>
      <c r="I32" s="120">
        <f t="shared" si="2"/>
        <v>0</v>
      </c>
      <c r="J32" s="65">
        <v>4</v>
      </c>
      <c r="K32" s="65"/>
      <c r="L32" s="65">
        <f t="shared" si="3"/>
        <v>0</v>
      </c>
      <c r="M32" s="65">
        <f t="shared" si="4"/>
        <v>2.4</v>
      </c>
      <c r="N32" s="119">
        <f t="shared" si="5"/>
        <v>2.4</v>
      </c>
      <c r="O32" s="121">
        <f t="shared" si="6"/>
        <v>0</v>
      </c>
    </row>
    <row r="33" spans="2:15" ht="21.75" customHeight="1" x14ac:dyDescent="0.25">
      <c r="B33" s="118">
        <v>30</v>
      </c>
      <c r="C33" s="116" t="s">
        <v>280</v>
      </c>
      <c r="D33" s="65">
        <v>3</v>
      </c>
      <c r="E33" s="65"/>
      <c r="F33" s="65">
        <f t="shared" si="7"/>
        <v>0</v>
      </c>
      <c r="G33" s="65">
        <f t="shared" si="0"/>
        <v>1.7999999999999998</v>
      </c>
      <c r="H33" s="119">
        <f t="shared" si="1"/>
        <v>1.7999999999999998</v>
      </c>
      <c r="I33" s="120">
        <f t="shared" si="2"/>
        <v>0</v>
      </c>
      <c r="J33" s="65">
        <v>5</v>
      </c>
      <c r="K33" s="65"/>
      <c r="L33" s="65">
        <f t="shared" si="3"/>
        <v>0</v>
      </c>
      <c r="M33" s="65">
        <f t="shared" si="4"/>
        <v>3</v>
      </c>
      <c r="N33" s="119">
        <f t="shared" si="5"/>
        <v>3</v>
      </c>
      <c r="O33" s="121">
        <f t="shared" si="6"/>
        <v>0</v>
      </c>
    </row>
    <row r="34" spans="2:15" ht="15.75" x14ac:dyDescent="0.25">
      <c r="B34" s="118">
        <v>31</v>
      </c>
      <c r="C34" s="116" t="s">
        <v>281</v>
      </c>
      <c r="D34" s="65">
        <v>2</v>
      </c>
      <c r="E34" s="65"/>
      <c r="F34" s="65">
        <f t="shared" si="7"/>
        <v>0</v>
      </c>
      <c r="G34" s="65">
        <f t="shared" si="0"/>
        <v>1.2</v>
      </c>
      <c r="H34" s="119">
        <f t="shared" si="1"/>
        <v>1.2</v>
      </c>
      <c r="I34" s="120">
        <f t="shared" si="2"/>
        <v>0</v>
      </c>
      <c r="J34" s="65">
        <v>2</v>
      </c>
      <c r="K34" s="65"/>
      <c r="L34" s="65">
        <f t="shared" si="3"/>
        <v>0</v>
      </c>
      <c r="M34" s="65">
        <f t="shared" si="4"/>
        <v>1.2</v>
      </c>
      <c r="N34" s="119">
        <f t="shared" si="5"/>
        <v>1.2</v>
      </c>
      <c r="O34" s="121">
        <f t="shared" si="6"/>
        <v>0</v>
      </c>
    </row>
  </sheetData>
  <mergeCells count="16">
    <mergeCell ref="B2:B3"/>
    <mergeCell ref="C2:C3"/>
    <mergeCell ref="D2:D3"/>
    <mergeCell ref="E2:E3"/>
    <mergeCell ref="F2:F3"/>
    <mergeCell ref="D1:I1"/>
    <mergeCell ref="J1:O1"/>
    <mergeCell ref="G2:G3"/>
    <mergeCell ref="M2:M3"/>
    <mergeCell ref="I2:I3"/>
    <mergeCell ref="J2:J3"/>
    <mergeCell ref="K2:K3"/>
    <mergeCell ref="L2:L3"/>
    <mergeCell ref="N2:N3"/>
    <mergeCell ref="O2:O3"/>
    <mergeCell ref="H2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меню</vt:lpstr>
      <vt:lpstr>расчет завтрак</vt:lpstr>
      <vt:lpstr>расчет обед 1-4</vt:lpstr>
      <vt:lpstr>расчет обед 5-11</vt:lpstr>
      <vt:lpstr>норма потребления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2025-01-28T11:27:57Z</dcterms:modified>
</cp:coreProperties>
</file>